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64" tabRatio="912" firstSheet="7" activeTab="12"/>
  </bookViews>
  <sheets>
    <sheet name="000000" sheetId="1" state="veryHidden" r:id="rId1"/>
    <sheet name="申請書1(全体)" sheetId="2" r:id="rId2"/>
    <sheet name="申請書2(全体)" sheetId="3" r:id="rId3"/>
    <sheet name="申請書3(全体)" sheetId="4" r:id="rId4"/>
    <sheet name="農地一覧(全体)" sheetId="5" r:id="rId5"/>
    <sheet name="改善計画添付鏡(全体)" sheetId="6" r:id="rId6"/>
    <sheet name="目標(耕種農家のみ)" sheetId="7" r:id="rId7"/>
    <sheet name="経営指標(触らない)" sheetId="8" r:id="rId8"/>
    <sheet name="労働時間(耕種農家のみ)" sheetId="9" r:id="rId9"/>
    <sheet name="労働資料(触らない)" sheetId="10" r:id="rId10"/>
    <sheet name="肉用牛繁殖(畜産農家のみ)" sheetId="11" r:id="rId11"/>
    <sheet name="肉用牛肥育(畜産農家のみ)" sheetId="12" r:id="rId12"/>
    <sheet name="同意書(全体) " sheetId="13" r:id="rId13"/>
  </sheets>
  <definedNames>
    <definedName name="_xlnm.Print_Area" localSheetId="2">'申請書2(全体)'!$B$2:$AG$35</definedName>
    <definedName name="_xlnm.Print_Area" localSheetId="3">'申請書3(全体)'!$B$2:$T$27</definedName>
    <definedName name="_xlnm.Print_Area" localSheetId="12">'同意書(全体) '!$A$1:$I$36</definedName>
    <definedName name="作目">'経営指標(触らない)'!$D$1:$N$1</definedName>
  </definedNames>
  <calcPr fullCalcOnLoad="1"/>
</workbook>
</file>

<file path=xl/comments11.xml><?xml version="1.0" encoding="utf-8"?>
<comments xmlns="http://schemas.openxmlformats.org/spreadsheetml/2006/main">
  <authors>
    <author>農政経済課7</author>
  </authors>
  <commentList>
    <comment ref="Y4" authorId="0">
      <text>
        <r>
          <rPr>
            <b/>
            <sz val="9"/>
            <rFont val="ＭＳ Ｐゴシック"/>
            <family val="3"/>
          </rPr>
          <t>雌牛飼養規模60頭の場合、66.7時間。
～5頭：134.5h
～10頭：100.6h
～20頭：84.9h</t>
        </r>
      </text>
    </comment>
    <comment ref="D9" authorId="0">
      <text>
        <r>
          <rPr>
            <b/>
            <sz val="14"/>
            <rFont val="ＭＳ Ｐゴシック"/>
            <family val="3"/>
          </rPr>
          <t>生産率80～92％</t>
        </r>
      </text>
    </comment>
    <comment ref="D10" authorId="0">
      <text>
        <r>
          <rPr>
            <b/>
            <sz val="12"/>
            <rFont val="ＭＳ Ｐゴシック"/>
            <family val="3"/>
          </rPr>
          <t>事故率２～５％</t>
        </r>
      </text>
    </comment>
    <comment ref="F26" authorId="0">
      <text>
        <r>
          <rPr>
            <sz val="11"/>
            <rFont val="ＭＳ Ｐゴシック"/>
            <family val="3"/>
          </rPr>
          <t>必要草地
10～14a/母牛１頭</t>
        </r>
      </text>
    </comment>
  </commentList>
</comments>
</file>

<file path=xl/comments8.xml><?xml version="1.0" encoding="utf-8"?>
<comments xmlns="http://schemas.openxmlformats.org/spreadsheetml/2006/main">
  <authors>
    <author>Isglg247</author>
  </authors>
  <commentList>
    <comment ref="J4" authorId="0">
      <text>
        <r>
          <rPr>
            <b/>
            <sz val="12"/>
            <rFont val="Arial"/>
            <family val="2"/>
          </rPr>
          <t>1000</t>
        </r>
        <r>
          <rPr>
            <b/>
            <sz val="12"/>
            <rFont val="MS P ゴシック"/>
            <family val="3"/>
          </rPr>
          <t>～</t>
        </r>
        <r>
          <rPr>
            <b/>
            <sz val="12"/>
            <rFont val="Arial"/>
            <family val="2"/>
          </rPr>
          <t>1200kg</t>
        </r>
      </text>
    </comment>
    <comment ref="J5" authorId="0">
      <text>
        <r>
          <rPr>
            <b/>
            <sz val="14"/>
            <rFont val="Arial"/>
            <family val="2"/>
          </rPr>
          <t>2000</t>
        </r>
        <r>
          <rPr>
            <b/>
            <sz val="14"/>
            <rFont val="MS P ゴシック"/>
            <family val="3"/>
          </rPr>
          <t>～</t>
        </r>
        <r>
          <rPr>
            <b/>
            <sz val="14"/>
            <rFont val="Arial"/>
            <family val="2"/>
          </rPr>
          <t>2200</t>
        </r>
        <r>
          <rPr>
            <b/>
            <sz val="14"/>
            <rFont val="MS P ゴシック"/>
            <family val="3"/>
          </rPr>
          <t>円</t>
        </r>
      </text>
    </comment>
  </commentList>
</comments>
</file>

<file path=xl/sharedStrings.xml><?xml version="1.0" encoding="utf-8"?>
<sst xmlns="http://schemas.openxmlformats.org/spreadsheetml/2006/main" count="1566" uniqueCount="766">
  <si>
    <t>目標</t>
  </si>
  <si>
    <t>ａ</t>
  </si>
  <si>
    <t>歳</t>
  </si>
  <si>
    <t>現状</t>
  </si>
  <si>
    <t>頭</t>
  </si>
  <si>
    <t>2月</t>
  </si>
  <si>
    <t>3月</t>
  </si>
  <si>
    <t>4月</t>
  </si>
  <si>
    <t>5月</t>
  </si>
  <si>
    <t>6月</t>
  </si>
  <si>
    <t>7月</t>
  </si>
  <si>
    <t>8月</t>
  </si>
  <si>
    <t>9月</t>
  </si>
  <si>
    <t>10月</t>
  </si>
  <si>
    <t>11月</t>
  </si>
  <si>
    <t>12月</t>
  </si>
  <si>
    <t>1　月別労働時間</t>
  </si>
  <si>
    <t>目標常時飼養頭数</t>
  </si>
  <si>
    <t>頭数</t>
  </si>
  <si>
    <t>備考</t>
  </si>
  <si>
    <t>畜種</t>
  </si>
  <si>
    <t>1月</t>
  </si>
  <si>
    <t>合計</t>
  </si>
  <si>
    <t>繁殖牛</t>
  </si>
  <si>
    <t>繁殖雌牛</t>
  </si>
  <si>
    <t>育成牛</t>
  </si>
  <si>
    <t>子牛</t>
  </si>
  <si>
    <t>家族労働</t>
  </si>
  <si>
    <t>雇用労働</t>
  </si>
  <si>
    <t>　年間出荷頭数</t>
  </si>
  <si>
    <t>常時飼養頭数合計</t>
  </si>
  <si>
    <t>※検算用　「0」になるように↓</t>
  </si>
  <si>
    <t>（単位：円）</t>
  </si>
  <si>
    <t>主な収益</t>
  </si>
  <si>
    <t>金額</t>
  </si>
  <si>
    <t>単価</t>
  </si>
  <si>
    <t>頭数（数量）</t>
  </si>
  <si>
    <t>家畜販売収入</t>
  </si>
  <si>
    <t>その他収入</t>
  </si>
  <si>
    <t>　①たい肥</t>
  </si>
  <si>
    <t>2　家族（外）労働時間</t>
  </si>
  <si>
    <t>　②適正出荷奨励金</t>
  </si>
  <si>
    <t>　③共済金</t>
  </si>
  <si>
    <t>構成員</t>
  </si>
  <si>
    <t>年間就農日</t>
  </si>
  <si>
    <t>合計(時間）</t>
  </si>
  <si>
    <t>　④その他</t>
  </si>
  <si>
    <t>家族労働者</t>
  </si>
  <si>
    <t>収入計（A）</t>
  </si>
  <si>
    <t>主な支出</t>
  </si>
  <si>
    <t>生産費用</t>
  </si>
  <si>
    <t>種付け料</t>
  </si>
  <si>
    <t>小計</t>
  </si>
  <si>
    <t>飼料費</t>
  </si>
  <si>
    <t>家族外労働者</t>
  </si>
  <si>
    <t>　①購入飼料費</t>
  </si>
  <si>
    <t>　②自給飼料資材費</t>
  </si>
  <si>
    <t>家族外労働費</t>
  </si>
  <si>
    <t>（注）労働時間の項目から自動反映</t>
  </si>
  <si>
    <t>診療・医薬品費</t>
  </si>
  <si>
    <t>水道光熱費</t>
  </si>
  <si>
    <t>燃料費</t>
  </si>
  <si>
    <t>減価償却費</t>
  </si>
  <si>
    <t>修繕費</t>
  </si>
  <si>
    <t>小農具費</t>
  </si>
  <si>
    <t>消耗諸材料費</t>
  </si>
  <si>
    <t>子牛登録料</t>
  </si>
  <si>
    <t>基本登録料</t>
  </si>
  <si>
    <t>育成牛年間繰り入れ頭数</t>
  </si>
  <si>
    <t>削蹄料</t>
  </si>
  <si>
    <t>もと畜費</t>
  </si>
  <si>
    <t>賃料</t>
  </si>
  <si>
    <t>生産費用合計</t>
  </si>
  <si>
    <t>期中成牛振替額</t>
  </si>
  <si>
    <t>売上原価①</t>
  </si>
  <si>
    <t>販売・一般管理費</t>
  </si>
  <si>
    <t>販売経費</t>
  </si>
  <si>
    <t>　①市場手数料</t>
  </si>
  <si>
    <t>販売価格の2.1％</t>
  </si>
  <si>
    <t>　②市場上場料</t>
  </si>
  <si>
    <t>共済掛金</t>
  </si>
  <si>
    <t>税金</t>
  </si>
  <si>
    <t>　①自動車税・重量税</t>
  </si>
  <si>
    <t>　②固定資産税（建物）</t>
  </si>
  <si>
    <t>　③固定資産税（土地）</t>
  </si>
  <si>
    <t>小計②</t>
  </si>
  <si>
    <t>営業外費用</t>
  </si>
  <si>
    <t>支払利息</t>
  </si>
  <si>
    <t>成牛処分損</t>
  </si>
  <si>
    <t>その他支出</t>
  </si>
  <si>
    <t>小計③</t>
  </si>
  <si>
    <t>支出計（B）</t>
  </si>
  <si>
    <t>所得（A-B）</t>
  </si>
  <si>
    <t>肥育牛頭数</t>
  </si>
  <si>
    <t>肥育牛</t>
  </si>
  <si>
    <t>　導入頭数</t>
  </si>
  <si>
    <t>（飼養頭数）×（365日／肥育期間570日）</t>
  </si>
  <si>
    <t>　出荷頭数</t>
  </si>
  <si>
    <t>飼養頭数合計</t>
  </si>
  <si>
    <t>①－（②＋③）＝</t>
  </si>
  <si>
    <t>　②共済金</t>
  </si>
  <si>
    <t>　③その他</t>
  </si>
  <si>
    <t>売上原価</t>
  </si>
  <si>
    <t>購入手数料</t>
  </si>
  <si>
    <t>もと畜費の１％</t>
  </si>
  <si>
    <t>敷料費</t>
  </si>
  <si>
    <t>家族外労働者を雇う場合のみ記入</t>
  </si>
  <si>
    <t>小計①</t>
  </si>
  <si>
    <t>　①と畜料</t>
  </si>
  <si>
    <t>　②輸送料</t>
  </si>
  <si>
    <t>　③販売手数料</t>
  </si>
  <si>
    <t>販売額の4.5％で算出</t>
  </si>
  <si>
    <t>その他</t>
  </si>
  <si>
    <t>支払い利息</t>
  </si>
  <si>
    <t>経営主</t>
  </si>
  <si>
    <t>石垣市</t>
  </si>
  <si>
    <t>農業経営改善計画認定添付資料</t>
  </si>
  <si>
    <t>（ 農　業　経　営　計　画　策　定 ）</t>
  </si>
  <si>
    <t>農家氏名</t>
  </si>
  <si>
    <t>（年齢）</t>
  </si>
  <si>
    <t>住所</t>
  </si>
  <si>
    <t>営農類型</t>
  </si>
  <si>
    <t>農業経営の目標</t>
  </si>
  <si>
    <t>氏名</t>
  </si>
  <si>
    <t>作物別収支明細</t>
  </si>
  <si>
    <t>収入総括表</t>
  </si>
  <si>
    <t>作物名</t>
  </si>
  <si>
    <t>作目</t>
  </si>
  <si>
    <t>作型</t>
  </si>
  <si>
    <t>栽培面積</t>
  </si>
  <si>
    <t>ａ</t>
  </si>
  <si>
    <t>１０ａ当収量</t>
  </si>
  <si>
    <t>出荷数量</t>
  </si>
  <si>
    <t>販売単価</t>
  </si>
  <si>
    <t>販売金額</t>
  </si>
  <si>
    <t>作物収入計（Ｃ）</t>
  </si>
  <si>
    <t>科目</t>
  </si>
  <si>
    <t>種苗費</t>
  </si>
  <si>
    <t>光熱動力費</t>
  </si>
  <si>
    <t>諸材料費</t>
  </si>
  <si>
    <t>水利費</t>
  </si>
  <si>
    <t>賃借料・料金</t>
  </si>
  <si>
    <t>減価償却</t>
  </si>
  <si>
    <t>減償（施建）</t>
  </si>
  <si>
    <t>減償（農具）</t>
  </si>
  <si>
    <t>減償（大植）</t>
  </si>
  <si>
    <t>償却資産修繕費</t>
  </si>
  <si>
    <t>雇用労賃</t>
  </si>
  <si>
    <t>内訳</t>
  </si>
  <si>
    <t>手数料料金</t>
  </si>
  <si>
    <t>配送運賃</t>
  </si>
  <si>
    <t>包装資材費</t>
  </si>
  <si>
    <t>経営費合計（Ｂ）</t>
  </si>
  <si>
    <t>労働時間の目標</t>
  </si>
  <si>
    <t>総労働時間</t>
  </si>
  <si>
    <t>１人当たり家族</t>
  </si>
  <si>
    <t>１０アール当労働時間　入力表</t>
  </si>
  <si>
    <t>品目</t>
  </si>
  <si>
    <t>現況</t>
  </si>
  <si>
    <t>耕種指標月別労働時間</t>
  </si>
  <si>
    <t>調査地</t>
  </si>
  <si>
    <t>指標面積</t>
  </si>
  <si>
    <t>モロヘイヤ</t>
  </si>
  <si>
    <t>名護市</t>
  </si>
  <si>
    <t>ａ</t>
  </si>
  <si>
    <t>モロヘイヤ</t>
  </si>
  <si>
    <t>糸満市</t>
  </si>
  <si>
    <t>ａ</t>
  </si>
  <si>
    <t>インゲン</t>
  </si>
  <si>
    <t>城辺町</t>
  </si>
  <si>
    <t>ａ</t>
  </si>
  <si>
    <t>わい性インゲン（施設）</t>
  </si>
  <si>
    <t>わい性インゲン（露地）</t>
  </si>
  <si>
    <t>わい性インゲン</t>
  </si>
  <si>
    <t>平良市</t>
  </si>
  <si>
    <t>オクラ</t>
  </si>
  <si>
    <t>カボチャ</t>
  </si>
  <si>
    <t>シシトウ</t>
  </si>
  <si>
    <t>スイカ（施設）</t>
  </si>
  <si>
    <t>スイカ：植替（施設）</t>
  </si>
  <si>
    <t>スイカ：後作（施設）</t>
  </si>
  <si>
    <t>スイートコーン</t>
  </si>
  <si>
    <t>トウガン</t>
  </si>
  <si>
    <t>施設ナス</t>
  </si>
  <si>
    <t>南風原町</t>
  </si>
  <si>
    <t>ニガウリ（施設）</t>
  </si>
  <si>
    <t>ニガウリ（露地）</t>
  </si>
  <si>
    <t>本部町</t>
  </si>
  <si>
    <t>パパイヤ（露地）</t>
  </si>
  <si>
    <t>下地町</t>
  </si>
  <si>
    <t>ピーマン（施設）</t>
  </si>
  <si>
    <t>具志頭村</t>
  </si>
  <si>
    <t>施設ヘチマ</t>
  </si>
  <si>
    <t>東風平町</t>
  </si>
  <si>
    <t>露地ヘチマ</t>
  </si>
  <si>
    <t>ミニトマト</t>
  </si>
  <si>
    <t>ａ</t>
  </si>
  <si>
    <t>メロン</t>
  </si>
  <si>
    <t>カンショ（紅イモ）</t>
  </si>
  <si>
    <t>サトイモ</t>
  </si>
  <si>
    <t>下地町（９/中）</t>
  </si>
  <si>
    <t>ａ</t>
  </si>
  <si>
    <t>サトイモ</t>
  </si>
  <si>
    <t>下地町（10/上）</t>
  </si>
  <si>
    <t>ダイコン</t>
  </si>
  <si>
    <t>タイモ</t>
  </si>
  <si>
    <t>金武町</t>
  </si>
  <si>
    <t>ニンジン</t>
  </si>
  <si>
    <t>勝連町</t>
  </si>
  <si>
    <t>ニンジン</t>
  </si>
  <si>
    <t>島ニンジン</t>
  </si>
  <si>
    <t>中城村</t>
  </si>
  <si>
    <t>バレイショ</t>
  </si>
  <si>
    <t>北大東村</t>
  </si>
  <si>
    <t>ａ</t>
  </si>
  <si>
    <t>アンスリウム</t>
  </si>
  <si>
    <t>大里村</t>
  </si>
  <si>
    <t>オンジューム</t>
  </si>
  <si>
    <t>クジャクアスター</t>
  </si>
  <si>
    <t>石川市</t>
  </si>
  <si>
    <t>クルクマ</t>
  </si>
  <si>
    <t>豊見城村</t>
  </si>
  <si>
    <t>ストレリチア</t>
  </si>
  <si>
    <t>ソリダゴ</t>
  </si>
  <si>
    <t>ソリダゴ</t>
  </si>
  <si>
    <t>電照小菊</t>
  </si>
  <si>
    <t>具志川市</t>
  </si>
  <si>
    <t>電照輪菊</t>
  </si>
  <si>
    <t>ａ</t>
  </si>
  <si>
    <t>デンファレ</t>
  </si>
  <si>
    <t>デンファレ（加温）</t>
  </si>
  <si>
    <t>ヘリコニア</t>
  </si>
  <si>
    <t>リアトリス</t>
  </si>
  <si>
    <t>具志川村</t>
  </si>
  <si>
    <t>ａ</t>
  </si>
  <si>
    <t>レッドジンジャー</t>
  </si>
  <si>
    <t>オオタニワタリ</t>
  </si>
  <si>
    <t>スマイラックス</t>
  </si>
  <si>
    <t>ドラセナ類</t>
  </si>
  <si>
    <t>ドラセナ（レインボー）</t>
  </si>
  <si>
    <t>沖縄市</t>
  </si>
  <si>
    <t>コンシンネ</t>
  </si>
  <si>
    <t>読谷村</t>
  </si>
  <si>
    <t>玉城村</t>
  </si>
  <si>
    <t>ブーゲンビレア（６号鉢）</t>
  </si>
  <si>
    <t>タンカン</t>
  </si>
  <si>
    <t>タンカン</t>
  </si>
  <si>
    <t>仲里村</t>
  </si>
  <si>
    <t>早生温州みかん</t>
  </si>
  <si>
    <t>マンゴー</t>
  </si>
  <si>
    <t>マンゴー</t>
  </si>
  <si>
    <t>上野村</t>
  </si>
  <si>
    <t>スモモ</t>
  </si>
  <si>
    <t>国頭村</t>
  </si>
  <si>
    <t>島バナナ</t>
  </si>
  <si>
    <t>シークワシャー</t>
  </si>
  <si>
    <t>大宜味村</t>
  </si>
  <si>
    <t>アセローラ（露地）</t>
  </si>
  <si>
    <t>カニステル（露地）</t>
  </si>
  <si>
    <t>本島南部</t>
  </si>
  <si>
    <t>ａ</t>
  </si>
  <si>
    <t>ゴレンシ</t>
  </si>
  <si>
    <t>パッションフルーツ（電照）</t>
  </si>
  <si>
    <t>パッションフルーツ（露地）</t>
  </si>
  <si>
    <t>佐敷町</t>
  </si>
  <si>
    <t>パッションフルーツ</t>
  </si>
  <si>
    <t>レイシ</t>
  </si>
  <si>
    <t>-</t>
  </si>
  <si>
    <t>ビワ</t>
  </si>
  <si>
    <t>アテモヤ</t>
  </si>
  <si>
    <t>知念村</t>
  </si>
  <si>
    <t>-</t>
  </si>
  <si>
    <t>サトウキビ　春植</t>
  </si>
  <si>
    <t>-</t>
  </si>
  <si>
    <t>サトウキビ　夏植</t>
  </si>
  <si>
    <t>サトウキビ　株出</t>
  </si>
  <si>
    <t>サトウキビ　夏植（本島）</t>
  </si>
  <si>
    <t>-</t>
  </si>
  <si>
    <t>サトウキビ　夏植（離島）</t>
  </si>
  <si>
    <t>-</t>
  </si>
  <si>
    <t>サトウキビ　春植（本島）</t>
  </si>
  <si>
    <t>サトウキビ　株出（本島）</t>
  </si>
  <si>
    <t>サトウキビ　春植（離島）</t>
  </si>
  <si>
    <t>南大東村</t>
  </si>
  <si>
    <t>サトウキビ　株出（離島）</t>
  </si>
  <si>
    <t>サトウキビ　夏植（機械）</t>
  </si>
  <si>
    <t>サトウキビ　夏植（委託）</t>
  </si>
  <si>
    <t>伊良部町</t>
  </si>
  <si>
    <t>ａ</t>
  </si>
  <si>
    <t>-</t>
  </si>
  <si>
    <t>水稲（１期作）</t>
  </si>
  <si>
    <t>恩納村</t>
  </si>
  <si>
    <t>イグサ</t>
  </si>
  <si>
    <t>与那城町</t>
  </si>
  <si>
    <t>ａ</t>
  </si>
  <si>
    <t>-</t>
  </si>
  <si>
    <t>落花生</t>
  </si>
  <si>
    <t>モチキビ</t>
  </si>
  <si>
    <t>パンゴラグラス（牧草）</t>
  </si>
  <si>
    <t>ガットンパニック（牧草）</t>
  </si>
  <si>
    <t>イグサ</t>
  </si>
  <si>
    <t>モチキビ</t>
  </si>
  <si>
    <t>モチキビ（慣行）</t>
  </si>
  <si>
    <t>粟国村</t>
  </si>
  <si>
    <t>モチキビ（新技術）</t>
  </si>
  <si>
    <t>モチキビ機械（慣行）</t>
  </si>
  <si>
    <t>モチキビ機械（新技術）</t>
  </si>
  <si>
    <t>タマネギ（慣行）</t>
  </si>
  <si>
    <t>タマネギ（新技術）</t>
  </si>
  <si>
    <t>タマネギ（慣行-改善）</t>
  </si>
  <si>
    <t>タマネギ（慣行-改善）新技術</t>
  </si>
  <si>
    <t>農（動）薬費</t>
  </si>
  <si>
    <t>%</t>
  </si>
  <si>
    <t>年間労働時間</t>
  </si>
  <si>
    <t>時間</t>
  </si>
  <si>
    <t>a</t>
  </si>
  <si>
    <t>kg</t>
  </si>
  <si>
    <t>現　　　状</t>
  </si>
  <si>
    <t>字</t>
  </si>
  <si>
    <t>農業委員会への届け出の有無</t>
  </si>
  <si>
    <t>(資料)　現在の耕作地一覧</t>
  </si>
  <si>
    <t>有　　　・　　　一部有　　　・　　　無</t>
  </si>
  <si>
    <t>所　在　地</t>
  </si>
  <si>
    <t>パイン</t>
  </si>
  <si>
    <t>石垣市</t>
  </si>
  <si>
    <t>サトウキビ(夏植)</t>
  </si>
  <si>
    <t>月別労働時間</t>
  </si>
  <si>
    <t>サトウキビ(春植)</t>
  </si>
  <si>
    <t>サトウキビ(株出し)</t>
  </si>
  <si>
    <t>八重山</t>
  </si>
  <si>
    <t>南部.離島</t>
  </si>
  <si>
    <t>下記２つ平均</t>
  </si>
  <si>
    <t>H26.3品目別技術体系・収益性事例</t>
  </si>
  <si>
    <t>水稲(１期)</t>
  </si>
  <si>
    <t>中部</t>
  </si>
  <si>
    <r>
      <rPr>
        <sz val="11"/>
        <rFont val="ＭＳ Ｐ明朝"/>
        <family val="1"/>
      </rPr>
      <t>金額</t>
    </r>
  </si>
  <si>
    <r>
      <rPr>
        <sz val="10"/>
        <rFont val="ＭＳ Ｐ明朝"/>
        <family val="1"/>
      </rPr>
      <t>品目</t>
    </r>
  </si>
  <si>
    <r>
      <rPr>
        <sz val="10"/>
        <rFont val="ＭＳ Ｐ明朝"/>
        <family val="1"/>
      </rPr>
      <t>経営規模</t>
    </r>
  </si>
  <si>
    <r>
      <t>1</t>
    </r>
    <r>
      <rPr>
        <sz val="10"/>
        <rFont val="ＭＳ Ｐ明朝"/>
        <family val="1"/>
      </rPr>
      <t>月</t>
    </r>
  </si>
  <si>
    <r>
      <t>2</t>
    </r>
    <r>
      <rPr>
        <sz val="10"/>
        <rFont val="ＭＳ Ｐ明朝"/>
        <family val="1"/>
      </rPr>
      <t>月</t>
    </r>
  </si>
  <si>
    <r>
      <t>3</t>
    </r>
    <r>
      <rPr>
        <sz val="10"/>
        <rFont val="ＭＳ Ｐ明朝"/>
        <family val="1"/>
      </rPr>
      <t>月</t>
    </r>
  </si>
  <si>
    <r>
      <t>4</t>
    </r>
    <r>
      <rPr>
        <sz val="10"/>
        <rFont val="ＭＳ Ｐ明朝"/>
        <family val="1"/>
      </rPr>
      <t>月</t>
    </r>
  </si>
  <si>
    <r>
      <t>5</t>
    </r>
    <r>
      <rPr>
        <sz val="10"/>
        <rFont val="ＭＳ Ｐ明朝"/>
        <family val="1"/>
      </rPr>
      <t>月</t>
    </r>
  </si>
  <si>
    <r>
      <t>6</t>
    </r>
    <r>
      <rPr>
        <sz val="10"/>
        <rFont val="ＭＳ Ｐ明朝"/>
        <family val="1"/>
      </rPr>
      <t>月</t>
    </r>
  </si>
  <si>
    <r>
      <t>7</t>
    </r>
    <r>
      <rPr>
        <sz val="10"/>
        <rFont val="ＭＳ Ｐ明朝"/>
        <family val="1"/>
      </rPr>
      <t>月</t>
    </r>
  </si>
  <si>
    <r>
      <t>8</t>
    </r>
    <r>
      <rPr>
        <sz val="10"/>
        <rFont val="ＭＳ Ｐ明朝"/>
        <family val="1"/>
      </rPr>
      <t>月</t>
    </r>
  </si>
  <si>
    <r>
      <t>9</t>
    </r>
    <r>
      <rPr>
        <sz val="10"/>
        <rFont val="ＭＳ Ｐ明朝"/>
        <family val="1"/>
      </rPr>
      <t>月</t>
    </r>
  </si>
  <si>
    <r>
      <t>10</t>
    </r>
    <r>
      <rPr>
        <sz val="10"/>
        <rFont val="ＭＳ Ｐ明朝"/>
        <family val="1"/>
      </rPr>
      <t>月</t>
    </r>
  </si>
  <si>
    <r>
      <t>11</t>
    </r>
    <r>
      <rPr>
        <sz val="10"/>
        <rFont val="ＭＳ Ｐ明朝"/>
        <family val="1"/>
      </rPr>
      <t>月</t>
    </r>
  </si>
  <si>
    <r>
      <t>12</t>
    </r>
    <r>
      <rPr>
        <sz val="10"/>
        <rFont val="ＭＳ Ｐ明朝"/>
        <family val="1"/>
      </rPr>
      <t>月</t>
    </r>
  </si>
  <si>
    <r>
      <rPr>
        <sz val="10"/>
        <rFont val="ＭＳ Ｐ明朝"/>
        <family val="1"/>
      </rPr>
      <t>合計</t>
    </r>
  </si>
  <si>
    <r>
      <rPr>
        <sz val="10"/>
        <rFont val="ＭＳ Ｐ明朝"/>
        <family val="1"/>
      </rPr>
      <t>家族労働</t>
    </r>
  </si>
  <si>
    <r>
      <rPr>
        <sz val="10"/>
        <rFont val="ＭＳ Ｐ明朝"/>
        <family val="1"/>
      </rPr>
      <t>雇用労働</t>
    </r>
  </si>
  <si>
    <r>
      <rPr>
        <sz val="10"/>
        <rFont val="ＭＳ Ｐ明朝"/>
        <family val="1"/>
      </rPr>
      <t>構成員</t>
    </r>
  </si>
  <si>
    <r>
      <rPr>
        <sz val="10"/>
        <rFont val="ＭＳ Ｐ明朝"/>
        <family val="1"/>
      </rPr>
      <t>年間就農日</t>
    </r>
  </si>
  <si>
    <r>
      <rPr>
        <sz val="11"/>
        <rFont val="ＭＳ Ｐ明朝"/>
        <family val="1"/>
      </rPr>
      <t>円</t>
    </r>
  </si>
  <si>
    <r>
      <rPr>
        <sz val="11"/>
        <rFont val="ＭＳ Ｐ明朝"/>
        <family val="1"/>
      </rPr>
      <t>収入計（Ａ）</t>
    </r>
  </si>
  <si>
    <r>
      <rPr>
        <sz val="11"/>
        <rFont val="ＭＳ Ｐ明朝"/>
        <family val="1"/>
      </rPr>
      <t>支出総括表</t>
    </r>
  </si>
  <si>
    <r>
      <rPr>
        <sz val="11"/>
        <rFont val="ＭＳ Ｐ明朝"/>
        <family val="1"/>
      </rPr>
      <t>科目</t>
    </r>
  </si>
  <si>
    <r>
      <rPr>
        <sz val="11"/>
        <rFont val="ＭＳ Ｐ明朝"/>
        <family val="1"/>
      </rPr>
      <t>家族労働時間</t>
    </r>
  </si>
  <si>
    <r>
      <rPr>
        <sz val="11"/>
        <rFont val="ＭＳ Ｐ明朝"/>
        <family val="1"/>
      </rPr>
      <t>家族就農人数</t>
    </r>
  </si>
  <si>
    <r>
      <rPr>
        <sz val="11"/>
        <rFont val="ＭＳ Ｐ明朝"/>
        <family val="1"/>
      </rPr>
      <t>時間</t>
    </r>
  </si>
  <si>
    <r>
      <rPr>
        <sz val="11"/>
        <rFont val="ＭＳ Ｐ明朝"/>
        <family val="1"/>
      </rPr>
      <t>人</t>
    </r>
  </si>
  <si>
    <r>
      <rPr>
        <sz val="11"/>
        <rFont val="ＭＳ Ｐ明朝"/>
        <family val="1"/>
      </rPr>
      <t>労働時間</t>
    </r>
  </si>
  <si>
    <r>
      <rPr>
        <sz val="11"/>
        <rFont val="ＭＳ Ｐ明朝"/>
        <family val="1"/>
      </rPr>
      <t>雇用労働時間</t>
    </r>
  </si>
  <si>
    <t>経営主</t>
  </si>
  <si>
    <t>雇用</t>
  </si>
  <si>
    <r>
      <rPr>
        <sz val="10"/>
        <rFont val="ＭＳ ゴシック"/>
        <family val="3"/>
      </rPr>
      <t>調　査　品　目</t>
    </r>
  </si>
  <si>
    <r>
      <rPr>
        <sz val="10"/>
        <rFont val="ＭＳ ゴシック"/>
        <family val="3"/>
      </rPr>
      <t>わい性インゲン（施設）</t>
    </r>
  </si>
  <si>
    <r>
      <rPr>
        <sz val="10"/>
        <rFont val="ＭＳ ゴシック"/>
        <family val="3"/>
      </rPr>
      <t>わい性インゲン（露地）</t>
    </r>
  </si>
  <si>
    <r>
      <rPr>
        <sz val="10"/>
        <rFont val="ＭＳ ゴシック"/>
        <family val="3"/>
      </rPr>
      <t>わい性インゲン</t>
    </r>
  </si>
  <si>
    <r>
      <rPr>
        <sz val="10"/>
        <rFont val="ＭＳ ゴシック"/>
        <family val="3"/>
      </rPr>
      <t>スイカ（施設）</t>
    </r>
  </si>
  <si>
    <r>
      <rPr>
        <sz val="10"/>
        <rFont val="ＭＳ ゴシック"/>
        <family val="3"/>
      </rPr>
      <t>スイカ：植替（施設）</t>
    </r>
  </si>
  <si>
    <r>
      <rPr>
        <sz val="10"/>
        <rFont val="ＭＳ ゴシック"/>
        <family val="3"/>
      </rPr>
      <t>スイカ：後作（施設）</t>
    </r>
  </si>
  <si>
    <r>
      <rPr>
        <sz val="10"/>
        <rFont val="ＭＳ ゴシック"/>
        <family val="3"/>
      </rPr>
      <t>施設ナス</t>
    </r>
  </si>
  <si>
    <r>
      <rPr>
        <sz val="10"/>
        <rFont val="ＭＳ ゴシック"/>
        <family val="3"/>
      </rPr>
      <t>ニガウリ</t>
    </r>
    <r>
      <rPr>
        <sz val="10"/>
        <rFont val="Arial"/>
        <family val="2"/>
      </rPr>
      <t xml:space="preserve">   </t>
    </r>
    <r>
      <rPr>
        <sz val="10"/>
        <rFont val="ＭＳ ゴシック"/>
        <family val="3"/>
      </rPr>
      <t>（施設）</t>
    </r>
  </si>
  <si>
    <r>
      <rPr>
        <sz val="10"/>
        <rFont val="ＭＳ ゴシック"/>
        <family val="3"/>
      </rPr>
      <t>ニガウリ（露地）</t>
    </r>
  </si>
  <si>
    <r>
      <rPr>
        <sz val="10"/>
        <rFont val="ＭＳ ゴシック"/>
        <family val="3"/>
      </rPr>
      <t>パパイヤ（露地）</t>
    </r>
  </si>
  <si>
    <r>
      <rPr>
        <sz val="10"/>
        <rFont val="ＭＳ ゴシック"/>
        <family val="3"/>
      </rPr>
      <t>ピーマン　　　（施設）</t>
    </r>
  </si>
  <si>
    <r>
      <rPr>
        <sz val="10"/>
        <rFont val="ＭＳ ゴシック"/>
        <family val="3"/>
      </rPr>
      <t>施設ヘチマ</t>
    </r>
  </si>
  <si>
    <r>
      <rPr>
        <sz val="10"/>
        <rFont val="ＭＳ ゴシック"/>
        <family val="3"/>
      </rPr>
      <t>露地ヘチマ</t>
    </r>
  </si>
  <si>
    <r>
      <rPr>
        <sz val="10"/>
        <rFont val="ＭＳ ゴシック"/>
        <family val="3"/>
      </rPr>
      <t>カンショ　　（紅イモ）</t>
    </r>
  </si>
  <si>
    <r>
      <rPr>
        <sz val="10"/>
        <rFont val="ＭＳ ゴシック"/>
        <family val="3"/>
      </rPr>
      <t>島ニンジン</t>
    </r>
  </si>
  <si>
    <r>
      <rPr>
        <sz val="10"/>
        <rFont val="ＭＳ ゴシック"/>
        <family val="3"/>
      </rPr>
      <t>電照小菊</t>
    </r>
  </si>
  <si>
    <r>
      <rPr>
        <sz val="10"/>
        <rFont val="ＭＳ ゴシック"/>
        <family val="3"/>
      </rPr>
      <t>電照輪菊</t>
    </r>
  </si>
  <si>
    <r>
      <rPr>
        <sz val="10"/>
        <rFont val="ＭＳ ゴシック"/>
        <family val="3"/>
      </rPr>
      <t>電照輪菊</t>
    </r>
  </si>
  <si>
    <r>
      <rPr>
        <sz val="10"/>
        <rFont val="ＭＳ ゴシック"/>
        <family val="3"/>
      </rPr>
      <t>デンファレ　　（加温）</t>
    </r>
  </si>
  <si>
    <r>
      <rPr>
        <sz val="10"/>
        <rFont val="ＭＳ ゴシック"/>
        <family val="3"/>
      </rPr>
      <t>ドラセナ類</t>
    </r>
  </si>
  <si>
    <r>
      <rPr>
        <sz val="10"/>
        <rFont val="ＭＳ ゴシック"/>
        <family val="3"/>
      </rPr>
      <t>ブーゲンビレア（６号鉢）</t>
    </r>
  </si>
  <si>
    <r>
      <rPr>
        <sz val="10"/>
        <rFont val="ＭＳ ゴシック"/>
        <family val="3"/>
      </rPr>
      <t>早生温州みかん</t>
    </r>
  </si>
  <si>
    <r>
      <rPr>
        <sz val="10"/>
        <rFont val="ＭＳ ゴシック"/>
        <family val="3"/>
      </rPr>
      <t>島バナナ</t>
    </r>
  </si>
  <si>
    <r>
      <rPr>
        <sz val="10"/>
        <rFont val="ＭＳ ゴシック"/>
        <family val="3"/>
      </rPr>
      <t>アセローラ　（露地）</t>
    </r>
  </si>
  <si>
    <r>
      <rPr>
        <sz val="10"/>
        <rFont val="ＭＳ ゴシック"/>
        <family val="3"/>
      </rPr>
      <t>パッションフルーツ（電照）</t>
    </r>
  </si>
  <si>
    <r>
      <rPr>
        <sz val="10"/>
        <rFont val="ＭＳ ゴシック"/>
        <family val="3"/>
      </rPr>
      <t>パッションフルーツ（露地）</t>
    </r>
  </si>
  <si>
    <r>
      <rPr>
        <sz val="9"/>
        <rFont val="ＭＳ ゴシック"/>
        <family val="3"/>
      </rPr>
      <t xml:space="preserve">サトウキビ
</t>
    </r>
    <r>
      <rPr>
        <sz val="9"/>
        <rFont val="Arial"/>
        <family val="2"/>
      </rPr>
      <t>(</t>
    </r>
    <r>
      <rPr>
        <sz val="9"/>
        <rFont val="ＭＳ ゴシック"/>
        <family val="3"/>
      </rPr>
      <t>春植</t>
    </r>
    <r>
      <rPr>
        <sz val="9"/>
        <rFont val="Arial"/>
        <family val="2"/>
      </rPr>
      <t>)</t>
    </r>
  </si>
  <si>
    <r>
      <rPr>
        <sz val="9"/>
        <rFont val="ＭＳ ゴシック"/>
        <family val="3"/>
      </rPr>
      <t xml:space="preserve">サトウキビ
</t>
    </r>
    <r>
      <rPr>
        <sz val="9"/>
        <rFont val="Arial"/>
        <family val="2"/>
      </rPr>
      <t>(</t>
    </r>
    <r>
      <rPr>
        <sz val="9"/>
        <rFont val="ＭＳ ゴシック"/>
        <family val="3"/>
      </rPr>
      <t>株出</t>
    </r>
    <r>
      <rPr>
        <sz val="9"/>
        <rFont val="Arial"/>
        <family val="2"/>
      </rPr>
      <t>)</t>
    </r>
  </si>
  <si>
    <r>
      <rPr>
        <sz val="10"/>
        <rFont val="ＭＳ 明朝"/>
        <family val="1"/>
      </rPr>
      <t>サトウキビ夏植</t>
    </r>
    <r>
      <rPr>
        <sz val="10"/>
        <rFont val="Arial"/>
        <family val="2"/>
      </rPr>
      <t>(H22)</t>
    </r>
  </si>
  <si>
    <r>
      <rPr>
        <sz val="10"/>
        <rFont val="ＭＳ 明朝"/>
        <family val="1"/>
      </rPr>
      <t>サトウキビ春植</t>
    </r>
  </si>
  <si>
    <r>
      <rPr>
        <sz val="10"/>
        <rFont val="ＭＳ 明朝"/>
        <family val="1"/>
      </rPr>
      <t>サトウキビ夏植</t>
    </r>
  </si>
  <si>
    <r>
      <rPr>
        <sz val="10"/>
        <rFont val="ＭＳ 明朝"/>
        <family val="1"/>
      </rPr>
      <t>サトウキビ株出</t>
    </r>
  </si>
  <si>
    <r>
      <rPr>
        <sz val="10"/>
        <rFont val="ＭＳ 明朝"/>
        <family val="1"/>
      </rPr>
      <t>サトウキビ夏植（本島）</t>
    </r>
  </si>
  <si>
    <r>
      <rPr>
        <sz val="10"/>
        <rFont val="ＭＳ 明朝"/>
        <family val="1"/>
      </rPr>
      <t>サトウキビ夏植（離島）</t>
    </r>
  </si>
  <si>
    <r>
      <rPr>
        <sz val="10"/>
        <rFont val="ＭＳ 明朝"/>
        <family val="1"/>
      </rPr>
      <t>サトウキビ春植（本島）</t>
    </r>
  </si>
  <si>
    <r>
      <rPr>
        <sz val="10"/>
        <rFont val="ＭＳ 明朝"/>
        <family val="1"/>
      </rPr>
      <t>サトウキビ株出（本島）</t>
    </r>
  </si>
  <si>
    <r>
      <rPr>
        <sz val="10"/>
        <rFont val="ＭＳ 明朝"/>
        <family val="1"/>
      </rPr>
      <t>サトウキビ春植（離島）</t>
    </r>
  </si>
  <si>
    <r>
      <rPr>
        <sz val="10"/>
        <rFont val="ＭＳ 明朝"/>
        <family val="1"/>
      </rPr>
      <t>サトウキビ夏植（離島）</t>
    </r>
  </si>
  <si>
    <r>
      <rPr>
        <sz val="10"/>
        <rFont val="ＭＳ 明朝"/>
        <family val="1"/>
      </rPr>
      <t>サトウキビ株出（離島）</t>
    </r>
  </si>
  <si>
    <r>
      <rPr>
        <sz val="10"/>
        <rFont val="ＭＳ 明朝"/>
        <family val="1"/>
      </rPr>
      <t>サトウキビ夏植（機械）</t>
    </r>
  </si>
  <si>
    <r>
      <rPr>
        <sz val="10"/>
        <rFont val="ＭＳ 明朝"/>
        <family val="1"/>
      </rPr>
      <t>サトウキビ夏植（委託）</t>
    </r>
  </si>
  <si>
    <r>
      <rPr>
        <sz val="10"/>
        <rFont val="ＭＳ 明朝"/>
        <family val="1"/>
      </rPr>
      <t>サトウキビ春植</t>
    </r>
  </si>
  <si>
    <r>
      <rPr>
        <sz val="10"/>
        <rFont val="ＭＳ 明朝"/>
        <family val="1"/>
      </rPr>
      <t>サトウキビ夏植</t>
    </r>
  </si>
  <si>
    <r>
      <rPr>
        <sz val="11"/>
        <rFont val="ＭＳ ゴシック"/>
        <family val="3"/>
      </rPr>
      <t xml:space="preserve">水稲
</t>
    </r>
    <r>
      <rPr>
        <sz val="11"/>
        <rFont val="Arial"/>
        <family val="2"/>
      </rPr>
      <t>(</t>
    </r>
    <r>
      <rPr>
        <sz val="11"/>
        <rFont val="ＭＳ ゴシック"/>
        <family val="3"/>
      </rPr>
      <t>１期</t>
    </r>
    <r>
      <rPr>
        <sz val="11"/>
        <rFont val="Arial"/>
        <family val="2"/>
      </rPr>
      <t>)</t>
    </r>
    <r>
      <rPr>
        <sz val="11"/>
        <rFont val="ＭＳ ゴシック"/>
        <family val="3"/>
      </rPr>
      <t>※</t>
    </r>
  </si>
  <si>
    <r>
      <rPr>
        <sz val="11"/>
        <rFont val="ＭＳ ゴシック"/>
        <family val="3"/>
      </rPr>
      <t xml:space="preserve">水稲
</t>
    </r>
    <r>
      <rPr>
        <sz val="11"/>
        <rFont val="Arial"/>
        <family val="2"/>
      </rPr>
      <t>(</t>
    </r>
    <r>
      <rPr>
        <sz val="11"/>
        <rFont val="ＭＳ ゴシック"/>
        <family val="3"/>
      </rPr>
      <t>２期</t>
    </r>
    <r>
      <rPr>
        <sz val="11"/>
        <rFont val="Arial"/>
        <family val="2"/>
      </rPr>
      <t>)</t>
    </r>
    <r>
      <rPr>
        <sz val="11"/>
        <rFont val="ＭＳ ゴシック"/>
        <family val="3"/>
      </rPr>
      <t>※</t>
    </r>
  </si>
  <si>
    <r>
      <rPr>
        <sz val="9"/>
        <rFont val="ＭＳ ゴシック"/>
        <family val="3"/>
      </rPr>
      <t xml:space="preserve">水稲
</t>
    </r>
    <r>
      <rPr>
        <sz val="9"/>
        <rFont val="Arial"/>
        <family val="2"/>
      </rPr>
      <t>(</t>
    </r>
    <r>
      <rPr>
        <sz val="9"/>
        <rFont val="ＭＳ ゴシック"/>
        <family val="3"/>
      </rPr>
      <t>１期のみ</t>
    </r>
    <r>
      <rPr>
        <sz val="9"/>
        <rFont val="Arial"/>
        <family val="2"/>
      </rPr>
      <t>)</t>
    </r>
  </si>
  <si>
    <r>
      <rPr>
        <sz val="10"/>
        <rFont val="ＭＳ 明朝"/>
        <family val="1"/>
      </rPr>
      <t xml:space="preserve">水稲
</t>
    </r>
    <r>
      <rPr>
        <sz val="10"/>
        <rFont val="Arial"/>
        <family val="2"/>
      </rPr>
      <t>(</t>
    </r>
    <r>
      <rPr>
        <sz val="10"/>
        <rFont val="ＭＳ 明朝"/>
        <family val="1"/>
      </rPr>
      <t>１期作</t>
    </r>
    <r>
      <rPr>
        <sz val="10"/>
        <rFont val="Arial"/>
        <family val="2"/>
      </rPr>
      <t>)</t>
    </r>
  </si>
  <si>
    <r>
      <rPr>
        <sz val="10"/>
        <rFont val="ＭＳ Ｐゴシック"/>
        <family val="3"/>
      </rPr>
      <t>落花生</t>
    </r>
  </si>
  <si>
    <r>
      <rPr>
        <sz val="10"/>
        <rFont val="ＭＳ 明朝"/>
        <family val="1"/>
      </rPr>
      <t>パンゴラグラス（牧草）</t>
    </r>
  </si>
  <si>
    <r>
      <rPr>
        <sz val="10"/>
        <rFont val="ＭＳ 明朝"/>
        <family val="1"/>
      </rPr>
      <t>ガットンパニック（牧草）</t>
    </r>
  </si>
  <si>
    <r>
      <rPr>
        <sz val="10"/>
        <rFont val="ＭＳ 明朝"/>
        <family val="1"/>
      </rPr>
      <t>水稲（１期作）</t>
    </r>
  </si>
  <si>
    <r>
      <rPr>
        <sz val="10"/>
        <rFont val="ＭＳ 明朝"/>
        <family val="1"/>
      </rPr>
      <t>モチキビ　（慣行）</t>
    </r>
  </si>
  <si>
    <r>
      <rPr>
        <sz val="10"/>
        <rFont val="ＭＳ 明朝"/>
        <family val="1"/>
      </rPr>
      <t>モチキビ　（新技術）</t>
    </r>
  </si>
  <si>
    <r>
      <rPr>
        <sz val="10"/>
        <rFont val="ＭＳ 明朝"/>
        <family val="1"/>
      </rPr>
      <t>モチキビ機械（慣行）</t>
    </r>
  </si>
  <si>
    <r>
      <rPr>
        <sz val="10"/>
        <rFont val="ＭＳ 明朝"/>
        <family val="1"/>
      </rPr>
      <t>モチキビ機械（新技術）</t>
    </r>
  </si>
  <si>
    <r>
      <rPr>
        <sz val="10"/>
        <rFont val="ＭＳ 明朝"/>
        <family val="1"/>
      </rPr>
      <t>タマネギ　（慣行）</t>
    </r>
  </si>
  <si>
    <r>
      <rPr>
        <sz val="10"/>
        <rFont val="ＭＳ 明朝"/>
        <family val="1"/>
      </rPr>
      <t>タマネギ　（新技術）</t>
    </r>
  </si>
  <si>
    <r>
      <rPr>
        <sz val="10"/>
        <rFont val="ＭＳ 明朝"/>
        <family val="1"/>
      </rPr>
      <t>タマネギ（慣行－改善）</t>
    </r>
  </si>
  <si>
    <r>
      <rPr>
        <sz val="10"/>
        <rFont val="ＭＳ 明朝"/>
        <family val="1"/>
      </rPr>
      <t>タマネギ（慣行－改善）　新技術</t>
    </r>
  </si>
  <si>
    <r>
      <rPr>
        <sz val="11"/>
        <rFont val="ＭＳ ゴシック"/>
        <family val="3"/>
      </rPr>
      <t>調　　査　　地</t>
    </r>
  </si>
  <si>
    <r>
      <rPr>
        <sz val="11"/>
        <rFont val="ＭＳ ゴシック"/>
        <family val="3"/>
      </rPr>
      <t>名護市</t>
    </r>
  </si>
  <si>
    <r>
      <rPr>
        <sz val="11"/>
        <rFont val="ＭＳ ゴシック"/>
        <family val="3"/>
      </rPr>
      <t>糸満市</t>
    </r>
  </si>
  <si>
    <r>
      <rPr>
        <sz val="11"/>
        <rFont val="ＭＳ ゴシック"/>
        <family val="3"/>
      </rPr>
      <t>城辺町</t>
    </r>
  </si>
  <si>
    <r>
      <rPr>
        <sz val="11"/>
        <rFont val="ＭＳ ゴシック"/>
        <family val="3"/>
      </rPr>
      <t>平良市</t>
    </r>
  </si>
  <si>
    <r>
      <rPr>
        <sz val="11"/>
        <rFont val="ＭＳ ゴシック"/>
        <family val="3"/>
      </rPr>
      <t>石垣市</t>
    </r>
  </si>
  <si>
    <r>
      <rPr>
        <sz val="11"/>
        <rFont val="ＭＳ ゴシック"/>
        <family val="3"/>
      </rPr>
      <t>城辺町</t>
    </r>
  </si>
  <si>
    <r>
      <rPr>
        <sz val="11"/>
        <rFont val="ＭＳ ゴシック"/>
        <family val="3"/>
      </rPr>
      <t>南風原町</t>
    </r>
  </si>
  <si>
    <r>
      <rPr>
        <sz val="11"/>
        <rFont val="ＭＳ ゴシック"/>
        <family val="3"/>
      </rPr>
      <t>本部町</t>
    </r>
  </si>
  <si>
    <r>
      <rPr>
        <sz val="11"/>
        <rFont val="ＭＳ ゴシック"/>
        <family val="3"/>
      </rPr>
      <t>下地町</t>
    </r>
  </si>
  <si>
    <r>
      <rPr>
        <sz val="11"/>
        <rFont val="ＭＳ ゴシック"/>
        <family val="3"/>
      </rPr>
      <t>具志頭村</t>
    </r>
  </si>
  <si>
    <r>
      <rPr>
        <sz val="11"/>
        <rFont val="ＭＳ ゴシック"/>
        <family val="3"/>
      </rPr>
      <t>東風平町</t>
    </r>
  </si>
  <si>
    <r>
      <rPr>
        <sz val="11"/>
        <rFont val="ＭＳ ゴシック"/>
        <family val="3"/>
      </rPr>
      <t>城辺町</t>
    </r>
  </si>
  <si>
    <r>
      <rPr>
        <sz val="11"/>
        <rFont val="ＭＳ ゴシック"/>
        <family val="3"/>
      </rPr>
      <t>中部</t>
    </r>
  </si>
  <si>
    <r>
      <rPr>
        <sz val="11"/>
        <rFont val="ＭＳ ゴシック"/>
        <family val="3"/>
      </rPr>
      <t>下地町</t>
    </r>
    <r>
      <rPr>
        <sz val="11"/>
        <rFont val="Arial"/>
        <family val="2"/>
      </rPr>
      <t>(9/</t>
    </r>
    <r>
      <rPr>
        <sz val="11"/>
        <rFont val="ＭＳ ゴシック"/>
        <family val="3"/>
      </rPr>
      <t>中</t>
    </r>
    <r>
      <rPr>
        <sz val="11"/>
        <rFont val="Arial"/>
        <family val="2"/>
      </rPr>
      <t>)</t>
    </r>
  </si>
  <si>
    <r>
      <rPr>
        <sz val="11"/>
        <rFont val="ＭＳ ゴシック"/>
        <family val="3"/>
      </rPr>
      <t>下地町</t>
    </r>
    <r>
      <rPr>
        <sz val="11"/>
        <rFont val="Arial"/>
        <family val="2"/>
      </rPr>
      <t>(10/</t>
    </r>
    <r>
      <rPr>
        <sz val="11"/>
        <rFont val="ＭＳ ゴシック"/>
        <family val="3"/>
      </rPr>
      <t>上</t>
    </r>
    <r>
      <rPr>
        <sz val="11"/>
        <rFont val="Arial"/>
        <family val="2"/>
      </rPr>
      <t>)</t>
    </r>
  </si>
  <si>
    <r>
      <rPr>
        <sz val="11"/>
        <rFont val="ＭＳ ゴシック"/>
        <family val="3"/>
      </rPr>
      <t>金武町</t>
    </r>
  </si>
  <si>
    <r>
      <rPr>
        <sz val="11"/>
        <rFont val="ＭＳ ゴシック"/>
        <family val="3"/>
      </rPr>
      <t>勝連町</t>
    </r>
  </si>
  <si>
    <r>
      <rPr>
        <sz val="11"/>
        <rFont val="ＭＳ ゴシック"/>
        <family val="3"/>
      </rPr>
      <t>中城村</t>
    </r>
  </si>
  <si>
    <r>
      <rPr>
        <sz val="11"/>
        <rFont val="ＭＳ ゴシック"/>
        <family val="3"/>
      </rPr>
      <t>北大東村</t>
    </r>
  </si>
  <si>
    <r>
      <rPr>
        <sz val="11"/>
        <rFont val="ＭＳ ゴシック"/>
        <family val="3"/>
      </rPr>
      <t>大里村</t>
    </r>
  </si>
  <si>
    <r>
      <rPr>
        <sz val="11"/>
        <rFont val="ＭＳ ゴシック"/>
        <family val="3"/>
      </rPr>
      <t>石川市</t>
    </r>
  </si>
  <si>
    <r>
      <rPr>
        <sz val="11"/>
        <rFont val="ＭＳ ゴシック"/>
        <family val="3"/>
      </rPr>
      <t>豊見城村</t>
    </r>
  </si>
  <si>
    <r>
      <rPr>
        <sz val="11"/>
        <rFont val="ＭＳ ゴシック"/>
        <family val="3"/>
      </rPr>
      <t>具志川市</t>
    </r>
  </si>
  <si>
    <r>
      <rPr>
        <sz val="11"/>
        <rFont val="ＭＳ ゴシック"/>
        <family val="3"/>
      </rPr>
      <t>具志川村</t>
    </r>
  </si>
  <si>
    <r>
      <rPr>
        <sz val="11"/>
        <rFont val="ＭＳ ゴシック"/>
        <family val="3"/>
      </rPr>
      <t>沖縄市</t>
    </r>
  </si>
  <si>
    <r>
      <rPr>
        <sz val="11"/>
        <rFont val="ＭＳ ゴシック"/>
        <family val="3"/>
      </rPr>
      <t>読谷村</t>
    </r>
  </si>
  <si>
    <r>
      <rPr>
        <sz val="11"/>
        <rFont val="ＭＳ ゴシック"/>
        <family val="3"/>
      </rPr>
      <t>玉城村</t>
    </r>
  </si>
  <si>
    <r>
      <rPr>
        <sz val="11"/>
        <rFont val="ＭＳ ゴシック"/>
        <family val="3"/>
      </rPr>
      <t>仲里村</t>
    </r>
  </si>
  <si>
    <r>
      <rPr>
        <sz val="11"/>
        <rFont val="ＭＳ ゴシック"/>
        <family val="3"/>
      </rPr>
      <t>上野村</t>
    </r>
  </si>
  <si>
    <r>
      <rPr>
        <sz val="11"/>
        <rFont val="ＭＳ ゴシック"/>
        <family val="3"/>
      </rPr>
      <t>国頭村</t>
    </r>
  </si>
  <si>
    <r>
      <rPr>
        <sz val="11"/>
        <rFont val="ＭＳ ゴシック"/>
        <family val="3"/>
      </rPr>
      <t>大宜味村</t>
    </r>
  </si>
  <si>
    <r>
      <rPr>
        <sz val="11"/>
        <rFont val="ＭＳ ゴシック"/>
        <family val="3"/>
      </rPr>
      <t>本島南部</t>
    </r>
  </si>
  <si>
    <r>
      <rPr>
        <sz val="11"/>
        <rFont val="ＭＳ ゴシック"/>
        <family val="3"/>
      </rPr>
      <t>佐敷町</t>
    </r>
  </si>
  <si>
    <r>
      <rPr>
        <sz val="11"/>
        <rFont val="ＭＳ ゴシック"/>
        <family val="3"/>
      </rPr>
      <t>知念村</t>
    </r>
  </si>
  <si>
    <r>
      <rPr>
        <sz val="11"/>
        <rFont val="ＭＳ Ｐゴシック"/>
        <family val="3"/>
      </rPr>
      <t>名護市</t>
    </r>
  </si>
  <si>
    <r>
      <rPr>
        <sz val="11"/>
        <rFont val="ＭＳ Ｐゴシック"/>
        <family val="3"/>
      </rPr>
      <t>大里村</t>
    </r>
  </si>
  <si>
    <r>
      <rPr>
        <sz val="11"/>
        <rFont val="ＭＳ Ｐゴシック"/>
        <family val="3"/>
      </rPr>
      <t>仲里村</t>
    </r>
  </si>
  <si>
    <r>
      <rPr>
        <sz val="11"/>
        <rFont val="ＭＳ Ｐゴシック"/>
        <family val="3"/>
      </rPr>
      <t>東風平町</t>
    </r>
  </si>
  <si>
    <r>
      <rPr>
        <sz val="11"/>
        <rFont val="ＭＳ Ｐゴシック"/>
        <family val="3"/>
      </rPr>
      <t>南大東村</t>
    </r>
  </si>
  <si>
    <r>
      <rPr>
        <sz val="11"/>
        <rFont val="ＭＳ Ｐゴシック"/>
        <family val="3"/>
      </rPr>
      <t>南大東村</t>
    </r>
  </si>
  <si>
    <r>
      <rPr>
        <sz val="11"/>
        <rFont val="ＭＳ Ｐゴシック"/>
        <family val="3"/>
      </rPr>
      <t>城辺町</t>
    </r>
  </si>
  <si>
    <r>
      <rPr>
        <sz val="11"/>
        <rFont val="ＭＳ Ｐゴシック"/>
        <family val="3"/>
      </rPr>
      <t>伊良部町</t>
    </r>
  </si>
  <si>
    <r>
      <rPr>
        <sz val="11"/>
        <rFont val="ＭＳ Ｐゴシック"/>
        <family val="3"/>
      </rPr>
      <t>下地町</t>
    </r>
  </si>
  <si>
    <r>
      <rPr>
        <sz val="11"/>
        <rFont val="ＭＳ Ｐゴシック"/>
        <family val="3"/>
      </rPr>
      <t>石垣市</t>
    </r>
  </si>
  <si>
    <r>
      <rPr>
        <sz val="12"/>
        <rFont val="ＭＳ ゴシック"/>
        <family val="3"/>
      </rPr>
      <t>石垣市</t>
    </r>
  </si>
  <si>
    <r>
      <rPr>
        <sz val="11"/>
        <rFont val="ＭＳ ゴシック"/>
        <family val="3"/>
      </rPr>
      <t>石垣市</t>
    </r>
  </si>
  <si>
    <r>
      <rPr>
        <sz val="11"/>
        <rFont val="ＭＳ Ｐゴシック"/>
        <family val="3"/>
      </rPr>
      <t>恩納村</t>
    </r>
  </si>
  <si>
    <r>
      <rPr>
        <sz val="11"/>
        <rFont val="ＭＳ Ｐゴシック"/>
        <family val="3"/>
      </rPr>
      <t>与那城町</t>
    </r>
  </si>
  <si>
    <r>
      <rPr>
        <sz val="11"/>
        <rFont val="ＭＳ Ｐゴシック"/>
        <family val="3"/>
      </rPr>
      <t>粟国村</t>
    </r>
  </si>
  <si>
    <r>
      <rPr>
        <sz val="11"/>
        <rFont val="ＭＳ ゴシック"/>
        <family val="3"/>
      </rPr>
      <t>生産額　　</t>
    </r>
  </si>
  <si>
    <r>
      <rPr>
        <sz val="11"/>
        <rFont val="ＭＳ ゴシック"/>
        <family val="3"/>
      </rPr>
      <t>粗収入</t>
    </r>
  </si>
  <si>
    <r>
      <rPr>
        <sz val="11"/>
        <rFont val="ＭＳ ゴシック"/>
        <family val="3"/>
      </rPr>
      <t>収量（</t>
    </r>
    <r>
      <rPr>
        <sz val="11"/>
        <rFont val="Arial"/>
        <family val="2"/>
      </rPr>
      <t>kg</t>
    </r>
    <r>
      <rPr>
        <sz val="11"/>
        <rFont val="ＭＳ ゴシック"/>
        <family val="3"/>
      </rPr>
      <t>、</t>
    </r>
    <r>
      <rPr>
        <sz val="11"/>
        <rFont val="Arial"/>
        <family val="2"/>
      </rPr>
      <t>t,</t>
    </r>
    <r>
      <rPr>
        <sz val="11"/>
        <rFont val="ＭＳ ゴシック"/>
        <family val="3"/>
      </rPr>
      <t>本）</t>
    </r>
  </si>
  <si>
    <r>
      <rPr>
        <sz val="11"/>
        <rFont val="ＭＳ ゴシック"/>
        <family val="3"/>
      </rPr>
      <t>単価（円）</t>
    </r>
  </si>
  <si>
    <r>
      <rPr>
        <sz val="11"/>
        <rFont val="ＭＳ ゴシック"/>
        <family val="3"/>
      </rPr>
      <t>経　　営　　費</t>
    </r>
  </si>
  <si>
    <r>
      <rPr>
        <sz val="11"/>
        <rFont val="ＭＳ ゴシック"/>
        <family val="3"/>
      </rPr>
      <t>種苗費</t>
    </r>
  </si>
  <si>
    <r>
      <rPr>
        <sz val="11"/>
        <rFont val="ＭＳ ゴシック"/>
        <family val="3"/>
      </rPr>
      <t>肥料費</t>
    </r>
  </si>
  <si>
    <r>
      <rPr>
        <sz val="11"/>
        <rFont val="ＭＳ ゴシック"/>
        <family val="3"/>
      </rPr>
      <t>農薬費</t>
    </r>
  </si>
  <si>
    <r>
      <rPr>
        <sz val="11"/>
        <rFont val="ＭＳ ゴシック"/>
        <family val="3"/>
      </rPr>
      <t>光熱動力費</t>
    </r>
  </si>
  <si>
    <r>
      <rPr>
        <sz val="11"/>
        <rFont val="ＭＳ ゴシック"/>
        <family val="3"/>
      </rPr>
      <t>諸材料費</t>
    </r>
  </si>
  <si>
    <r>
      <rPr>
        <sz val="11"/>
        <rFont val="ＭＳ ゴシック"/>
        <family val="3"/>
      </rPr>
      <t>水利費</t>
    </r>
  </si>
  <si>
    <r>
      <rPr>
        <sz val="11"/>
        <rFont val="ＭＳ ゴシック"/>
        <family val="3"/>
      </rPr>
      <t>賃借料・料金</t>
    </r>
  </si>
  <si>
    <r>
      <rPr>
        <sz val="11"/>
        <rFont val="ＭＳ ゴシック"/>
        <family val="3"/>
      </rPr>
      <t>償却費</t>
    </r>
  </si>
  <si>
    <r>
      <rPr>
        <sz val="11"/>
        <rFont val="ＭＳ ゴシック"/>
        <family val="3"/>
      </rPr>
      <t>建物・施設</t>
    </r>
  </si>
  <si>
    <r>
      <rPr>
        <sz val="11"/>
        <rFont val="ＭＳ ゴシック"/>
        <family val="3"/>
      </rPr>
      <t>大農具</t>
    </r>
  </si>
  <si>
    <r>
      <rPr>
        <sz val="11"/>
        <rFont val="ＭＳ ゴシック"/>
        <family val="3"/>
      </rPr>
      <t>大植物</t>
    </r>
  </si>
  <si>
    <r>
      <rPr>
        <sz val="11"/>
        <rFont val="ＭＳ ゴシック"/>
        <family val="3"/>
      </rPr>
      <t>償却資産修繕費</t>
    </r>
  </si>
  <si>
    <r>
      <rPr>
        <sz val="11"/>
        <rFont val="ＭＳ ゴシック"/>
        <family val="3"/>
      </rPr>
      <t>畜力費</t>
    </r>
  </si>
  <si>
    <r>
      <rPr>
        <sz val="11"/>
        <rFont val="ＭＳ ゴシック"/>
        <family val="3"/>
      </rPr>
      <t>雇用労賃</t>
    </r>
  </si>
  <si>
    <r>
      <rPr>
        <sz val="11"/>
        <rFont val="ＭＳ ゴシック"/>
        <family val="3"/>
      </rPr>
      <t>内訳</t>
    </r>
  </si>
  <si>
    <r>
      <rPr>
        <sz val="11"/>
        <rFont val="ＭＳ ゴシック"/>
        <family val="3"/>
      </rPr>
      <t>手数料料金</t>
    </r>
  </si>
  <si>
    <r>
      <rPr>
        <sz val="11"/>
        <rFont val="ＭＳ ゴシック"/>
        <family val="3"/>
      </rPr>
      <t>配送運賃</t>
    </r>
  </si>
  <si>
    <r>
      <rPr>
        <sz val="11"/>
        <rFont val="ＭＳ ゴシック"/>
        <family val="3"/>
      </rPr>
      <t>包装資材費</t>
    </r>
  </si>
  <si>
    <r>
      <rPr>
        <sz val="11"/>
        <rFont val="ＭＳ ゴシック"/>
        <family val="3"/>
      </rPr>
      <t>経営費計</t>
    </r>
  </si>
  <si>
    <r>
      <rPr>
        <sz val="11"/>
        <rFont val="ＭＳ ゴシック"/>
        <family val="3"/>
      </rPr>
      <t>所　　　　　得</t>
    </r>
  </si>
  <si>
    <r>
      <rPr>
        <sz val="10"/>
        <rFont val="ＭＳ ゴシック"/>
        <family val="3"/>
      </rPr>
      <t>モロヘイヤ</t>
    </r>
  </si>
  <si>
    <r>
      <rPr>
        <sz val="10"/>
        <rFont val="ＭＳ ゴシック"/>
        <family val="3"/>
      </rPr>
      <t>インゲン</t>
    </r>
  </si>
  <si>
    <r>
      <rPr>
        <sz val="10"/>
        <rFont val="ＭＳ ゴシック"/>
        <family val="3"/>
      </rPr>
      <t>オクラ</t>
    </r>
  </si>
  <si>
    <r>
      <rPr>
        <sz val="10"/>
        <rFont val="ＭＳ ゴシック"/>
        <family val="3"/>
      </rPr>
      <t>カボチャ</t>
    </r>
  </si>
  <si>
    <r>
      <rPr>
        <sz val="10"/>
        <rFont val="ＭＳ ゴシック"/>
        <family val="3"/>
      </rPr>
      <t>シシトウ</t>
    </r>
  </si>
  <si>
    <r>
      <rPr>
        <sz val="10"/>
        <rFont val="ＭＳ ゴシック"/>
        <family val="3"/>
      </rPr>
      <t>スイートコーン</t>
    </r>
  </si>
  <si>
    <r>
      <rPr>
        <sz val="10"/>
        <rFont val="ＭＳ ゴシック"/>
        <family val="3"/>
      </rPr>
      <t>トウガン</t>
    </r>
  </si>
  <si>
    <r>
      <rPr>
        <sz val="10"/>
        <rFont val="ＭＳ ゴシック"/>
        <family val="3"/>
      </rPr>
      <t>ミニトマト</t>
    </r>
  </si>
  <si>
    <r>
      <rPr>
        <sz val="10"/>
        <rFont val="ＭＳ ゴシック"/>
        <family val="3"/>
      </rPr>
      <t>メロン</t>
    </r>
  </si>
  <si>
    <r>
      <rPr>
        <sz val="10"/>
        <rFont val="ＭＳ ゴシック"/>
        <family val="3"/>
      </rPr>
      <t>サトイモ</t>
    </r>
  </si>
  <si>
    <r>
      <rPr>
        <sz val="10"/>
        <rFont val="ＭＳ ゴシック"/>
        <family val="3"/>
      </rPr>
      <t>ダイコン</t>
    </r>
  </si>
  <si>
    <r>
      <rPr>
        <sz val="10"/>
        <rFont val="ＭＳ ゴシック"/>
        <family val="3"/>
      </rPr>
      <t>タイモ</t>
    </r>
  </si>
  <si>
    <r>
      <rPr>
        <sz val="10"/>
        <rFont val="ＭＳ ゴシック"/>
        <family val="3"/>
      </rPr>
      <t>ニンジン</t>
    </r>
  </si>
  <si>
    <r>
      <rPr>
        <sz val="10"/>
        <rFont val="ＭＳ ゴシック"/>
        <family val="3"/>
      </rPr>
      <t>バレイショ</t>
    </r>
  </si>
  <si>
    <r>
      <rPr>
        <sz val="10"/>
        <rFont val="ＭＳ ゴシック"/>
        <family val="3"/>
      </rPr>
      <t>アンスリウム</t>
    </r>
  </si>
  <si>
    <r>
      <rPr>
        <sz val="10"/>
        <rFont val="ＭＳ ゴシック"/>
        <family val="3"/>
      </rPr>
      <t>オンシジューム</t>
    </r>
  </si>
  <si>
    <r>
      <rPr>
        <sz val="10"/>
        <rFont val="ＭＳ ゴシック"/>
        <family val="3"/>
      </rPr>
      <t>クジャクアスター</t>
    </r>
  </si>
  <si>
    <r>
      <rPr>
        <sz val="10"/>
        <rFont val="ＭＳ ゴシック"/>
        <family val="3"/>
      </rPr>
      <t>クルクマ</t>
    </r>
  </si>
  <si>
    <r>
      <rPr>
        <sz val="10"/>
        <rFont val="ＭＳ ゴシック"/>
        <family val="3"/>
      </rPr>
      <t>ストレリチア</t>
    </r>
  </si>
  <si>
    <r>
      <rPr>
        <sz val="10"/>
        <rFont val="ＭＳ ゴシック"/>
        <family val="3"/>
      </rPr>
      <t>ソリダゴ</t>
    </r>
  </si>
  <si>
    <r>
      <rPr>
        <sz val="10"/>
        <rFont val="ＭＳ ゴシック"/>
        <family val="3"/>
      </rPr>
      <t>デンファレ</t>
    </r>
  </si>
  <si>
    <r>
      <rPr>
        <sz val="10"/>
        <rFont val="ＭＳ ゴシック"/>
        <family val="3"/>
      </rPr>
      <t>ヘリコニア</t>
    </r>
  </si>
  <si>
    <r>
      <rPr>
        <sz val="10"/>
        <rFont val="ＭＳ ゴシック"/>
        <family val="3"/>
      </rPr>
      <t>リアトリス</t>
    </r>
  </si>
  <si>
    <r>
      <rPr>
        <sz val="10"/>
        <rFont val="ＭＳ ゴシック"/>
        <family val="3"/>
      </rPr>
      <t>レッドジインジャー</t>
    </r>
  </si>
  <si>
    <r>
      <rPr>
        <sz val="10"/>
        <rFont val="ＭＳ ゴシック"/>
        <family val="3"/>
      </rPr>
      <t>オオタニワタリ</t>
    </r>
  </si>
  <si>
    <r>
      <rPr>
        <sz val="10"/>
        <rFont val="ＭＳ ゴシック"/>
        <family val="3"/>
      </rPr>
      <t>スマイラックス</t>
    </r>
  </si>
  <si>
    <r>
      <rPr>
        <sz val="10"/>
        <rFont val="ＭＳ ゴシック"/>
        <family val="3"/>
      </rPr>
      <t>ドラセナ　　　（レインボー）</t>
    </r>
  </si>
  <si>
    <r>
      <rPr>
        <sz val="10"/>
        <rFont val="ＭＳ ゴシック"/>
        <family val="3"/>
      </rPr>
      <t>コンシンネ</t>
    </r>
  </si>
  <si>
    <r>
      <rPr>
        <sz val="10"/>
        <rFont val="ＭＳ ゴシック"/>
        <family val="3"/>
      </rPr>
      <t>タンカン</t>
    </r>
  </si>
  <si>
    <r>
      <rPr>
        <sz val="10"/>
        <rFont val="ＭＳ ゴシック"/>
        <family val="3"/>
      </rPr>
      <t>マンゴー</t>
    </r>
  </si>
  <si>
    <r>
      <rPr>
        <sz val="10"/>
        <rFont val="ＭＳ ゴシック"/>
        <family val="3"/>
      </rPr>
      <t>スモモ</t>
    </r>
  </si>
  <si>
    <r>
      <rPr>
        <sz val="10"/>
        <rFont val="ＭＳ ゴシック"/>
        <family val="3"/>
      </rPr>
      <t>シークワシャー</t>
    </r>
  </si>
  <si>
    <r>
      <rPr>
        <sz val="10"/>
        <rFont val="ＭＳ ゴシック"/>
        <family val="3"/>
      </rPr>
      <t>ゴレンシ</t>
    </r>
  </si>
  <si>
    <r>
      <rPr>
        <sz val="10"/>
        <rFont val="ＭＳ ゴシック"/>
        <family val="3"/>
      </rPr>
      <t>パッションフルーツ</t>
    </r>
  </si>
  <si>
    <r>
      <rPr>
        <sz val="10"/>
        <rFont val="ＭＳ ゴシック"/>
        <family val="3"/>
      </rPr>
      <t>レイシ</t>
    </r>
  </si>
  <si>
    <r>
      <rPr>
        <sz val="10"/>
        <rFont val="ＭＳ ゴシック"/>
        <family val="3"/>
      </rPr>
      <t>ビワ</t>
    </r>
  </si>
  <si>
    <r>
      <rPr>
        <sz val="10"/>
        <rFont val="ＭＳ ゴシック"/>
        <family val="3"/>
      </rPr>
      <t>アテモヤ</t>
    </r>
  </si>
  <si>
    <r>
      <rPr>
        <sz val="9"/>
        <rFont val="ＭＳ ゴシック"/>
        <family val="3"/>
      </rPr>
      <t xml:space="preserve">サトウキビ
</t>
    </r>
    <r>
      <rPr>
        <sz val="9"/>
        <rFont val="Arial"/>
        <family val="2"/>
      </rPr>
      <t>(</t>
    </r>
    <r>
      <rPr>
        <sz val="9"/>
        <rFont val="ＭＳ ゴシック"/>
        <family val="3"/>
      </rPr>
      <t>春</t>
    </r>
    <r>
      <rPr>
        <sz val="9"/>
        <rFont val="Arial"/>
        <family val="2"/>
      </rPr>
      <t>+</t>
    </r>
    <r>
      <rPr>
        <sz val="9"/>
        <rFont val="ＭＳ ゴシック"/>
        <family val="3"/>
      </rPr>
      <t>株</t>
    </r>
    <r>
      <rPr>
        <sz val="9"/>
        <rFont val="Arial"/>
        <family val="2"/>
      </rPr>
      <t>)/2</t>
    </r>
  </si>
  <si>
    <r>
      <rPr>
        <sz val="10"/>
        <rFont val="ＭＳ ゴシック"/>
        <family val="3"/>
      </rPr>
      <t>パイン</t>
    </r>
  </si>
  <si>
    <r>
      <rPr>
        <sz val="10"/>
        <rFont val="ＭＳ Ｐゴシック"/>
        <family val="3"/>
      </rPr>
      <t>イグサ</t>
    </r>
  </si>
  <si>
    <r>
      <rPr>
        <sz val="10"/>
        <rFont val="ＭＳ Ｐゴシック"/>
        <family val="3"/>
      </rPr>
      <t>モチキビ</t>
    </r>
  </si>
  <si>
    <r>
      <rPr>
        <sz val="12"/>
        <rFont val="ＭＳ ゴシック"/>
        <family val="3"/>
      </rPr>
      <t>南部</t>
    </r>
    <r>
      <rPr>
        <sz val="12"/>
        <rFont val="Arial"/>
        <family val="2"/>
      </rPr>
      <t>.</t>
    </r>
    <r>
      <rPr>
        <sz val="12"/>
        <rFont val="ＭＳ ゴシック"/>
        <family val="3"/>
      </rPr>
      <t>離島</t>
    </r>
  </si>
  <si>
    <r>
      <rPr>
        <sz val="12"/>
        <rFont val="ＭＳ ゴシック"/>
        <family val="3"/>
      </rPr>
      <t>宮古</t>
    </r>
  </si>
  <si>
    <t>kg</t>
  </si>
  <si>
    <t>経営費合計（D）</t>
  </si>
  <si>
    <t>小計（C－Ｄ）</t>
  </si>
  <si>
    <t>農業所得（A-B）</t>
  </si>
  <si>
    <t>小計（Ｃ－Ｄ）</t>
  </si>
  <si>
    <t>家族労働の積算基礎</t>
  </si>
  <si>
    <r>
      <rPr>
        <sz val="10"/>
        <rFont val="ＭＳ Ｐゴシック"/>
        <family val="3"/>
      </rPr>
      <t>頭</t>
    </r>
  </si>
  <si>
    <t>（出荷頭数）×（枝肉重量）×（kg単価）×1.08</t>
  </si>
  <si>
    <t>家族
労働者</t>
  </si>
  <si>
    <r>
      <rPr>
        <sz val="10"/>
        <rFont val="ＭＳ Ｐゴシック"/>
        <family val="3"/>
      </rPr>
      <t>①</t>
    </r>
  </si>
  <si>
    <r>
      <rPr>
        <sz val="10"/>
        <rFont val="ＭＳ Ｐゴシック"/>
        <family val="3"/>
      </rPr>
      <t>②</t>
    </r>
  </si>
  <si>
    <r>
      <rPr>
        <sz val="10"/>
        <rFont val="ＭＳ Ｐゴシック"/>
        <family val="3"/>
      </rPr>
      <t>③</t>
    </r>
  </si>
  <si>
    <r>
      <t>1</t>
    </r>
    <r>
      <rPr>
        <sz val="10"/>
        <rFont val="ＭＳ Ｐゴシック"/>
        <family val="3"/>
      </rPr>
      <t>月</t>
    </r>
  </si>
  <si>
    <r>
      <t>2</t>
    </r>
    <r>
      <rPr>
        <sz val="10"/>
        <rFont val="ＭＳ Ｐゴシック"/>
        <family val="3"/>
      </rPr>
      <t>月</t>
    </r>
  </si>
  <si>
    <r>
      <t>3</t>
    </r>
    <r>
      <rPr>
        <sz val="10"/>
        <rFont val="ＭＳ Ｐゴシック"/>
        <family val="3"/>
      </rPr>
      <t>月</t>
    </r>
  </si>
  <si>
    <r>
      <t>4</t>
    </r>
    <r>
      <rPr>
        <sz val="10"/>
        <rFont val="ＭＳ Ｐゴシック"/>
        <family val="3"/>
      </rPr>
      <t>月</t>
    </r>
  </si>
  <si>
    <r>
      <t>5</t>
    </r>
    <r>
      <rPr>
        <sz val="10"/>
        <rFont val="ＭＳ Ｐゴシック"/>
        <family val="3"/>
      </rPr>
      <t>月</t>
    </r>
  </si>
  <si>
    <r>
      <t>6</t>
    </r>
    <r>
      <rPr>
        <sz val="10"/>
        <rFont val="ＭＳ Ｐゴシック"/>
        <family val="3"/>
      </rPr>
      <t>月</t>
    </r>
  </si>
  <si>
    <r>
      <t>7</t>
    </r>
    <r>
      <rPr>
        <sz val="10"/>
        <rFont val="ＭＳ Ｐゴシック"/>
        <family val="3"/>
      </rPr>
      <t>月</t>
    </r>
  </si>
  <si>
    <r>
      <t>8</t>
    </r>
    <r>
      <rPr>
        <sz val="10"/>
        <rFont val="ＭＳ Ｐゴシック"/>
        <family val="3"/>
      </rPr>
      <t>月</t>
    </r>
  </si>
  <si>
    <r>
      <t>9</t>
    </r>
    <r>
      <rPr>
        <sz val="10"/>
        <rFont val="ＭＳ Ｐゴシック"/>
        <family val="3"/>
      </rPr>
      <t>月</t>
    </r>
  </si>
  <si>
    <r>
      <t>10</t>
    </r>
    <r>
      <rPr>
        <sz val="10"/>
        <rFont val="ＭＳ Ｐゴシック"/>
        <family val="3"/>
      </rPr>
      <t>月</t>
    </r>
  </si>
  <si>
    <r>
      <t>11</t>
    </r>
    <r>
      <rPr>
        <sz val="10"/>
        <rFont val="ＭＳ Ｐゴシック"/>
        <family val="3"/>
      </rPr>
      <t>月</t>
    </r>
  </si>
  <si>
    <r>
      <t>12</t>
    </r>
    <r>
      <rPr>
        <sz val="10"/>
        <rFont val="ＭＳ Ｐゴシック"/>
        <family val="3"/>
      </rPr>
      <t>月</t>
    </r>
  </si>
  <si>
    <t>オクラ</t>
  </si>
  <si>
    <t>ａ</t>
  </si>
  <si>
    <t>万円</t>
  </si>
  <si>
    <t>葉たばこ</t>
  </si>
  <si>
    <r>
      <t>1</t>
    </r>
    <r>
      <rPr>
        <sz val="11"/>
        <rFont val="ＭＳ Ｐ明朝"/>
        <family val="1"/>
      </rPr>
      <t>月</t>
    </r>
  </si>
  <si>
    <r>
      <t>2</t>
    </r>
    <r>
      <rPr>
        <sz val="11"/>
        <rFont val="ＭＳ Ｐ明朝"/>
        <family val="1"/>
      </rPr>
      <t>月</t>
    </r>
  </si>
  <si>
    <r>
      <t>3</t>
    </r>
    <r>
      <rPr>
        <sz val="11"/>
        <rFont val="ＭＳ Ｐ明朝"/>
        <family val="1"/>
      </rPr>
      <t>月</t>
    </r>
  </si>
  <si>
    <r>
      <t>4</t>
    </r>
    <r>
      <rPr>
        <sz val="11"/>
        <rFont val="ＭＳ Ｐ明朝"/>
        <family val="1"/>
      </rPr>
      <t>月</t>
    </r>
  </si>
  <si>
    <r>
      <t>5</t>
    </r>
    <r>
      <rPr>
        <sz val="11"/>
        <rFont val="ＭＳ Ｐ明朝"/>
        <family val="1"/>
      </rPr>
      <t>月</t>
    </r>
  </si>
  <si>
    <r>
      <t>6</t>
    </r>
    <r>
      <rPr>
        <sz val="11"/>
        <rFont val="ＭＳ Ｐ明朝"/>
        <family val="1"/>
      </rPr>
      <t>月</t>
    </r>
  </si>
  <si>
    <r>
      <t>7</t>
    </r>
    <r>
      <rPr>
        <sz val="11"/>
        <rFont val="ＭＳ Ｐ明朝"/>
        <family val="1"/>
      </rPr>
      <t>月</t>
    </r>
  </si>
  <si>
    <r>
      <t>8</t>
    </r>
    <r>
      <rPr>
        <sz val="11"/>
        <rFont val="ＭＳ Ｐ明朝"/>
        <family val="1"/>
      </rPr>
      <t>月</t>
    </r>
  </si>
  <si>
    <r>
      <t>9</t>
    </r>
    <r>
      <rPr>
        <sz val="11"/>
        <rFont val="ＭＳ Ｐ明朝"/>
        <family val="1"/>
      </rPr>
      <t>月</t>
    </r>
  </si>
  <si>
    <r>
      <t>10</t>
    </r>
    <r>
      <rPr>
        <sz val="11"/>
        <rFont val="ＭＳ Ｐ明朝"/>
        <family val="1"/>
      </rPr>
      <t>月</t>
    </r>
  </si>
  <si>
    <r>
      <t>11</t>
    </r>
    <r>
      <rPr>
        <sz val="11"/>
        <rFont val="ＭＳ Ｐ明朝"/>
        <family val="1"/>
      </rPr>
      <t>月</t>
    </r>
  </si>
  <si>
    <r>
      <t>12</t>
    </r>
    <r>
      <rPr>
        <sz val="11"/>
        <rFont val="ＭＳ Ｐ明朝"/>
        <family val="1"/>
      </rPr>
      <t>月</t>
    </r>
  </si>
  <si>
    <r>
      <rPr>
        <sz val="11"/>
        <rFont val="ＭＳ Ｐ明朝"/>
        <family val="1"/>
      </rPr>
      <t>合計</t>
    </r>
  </si>
  <si>
    <t>円</t>
  </si>
  <si>
    <t>円</t>
  </si>
  <si>
    <t>円</t>
  </si>
  <si>
    <t>ｋｇ</t>
  </si>
  <si>
    <t>円</t>
  </si>
  <si>
    <t>サトウキビ</t>
  </si>
  <si>
    <t>水稲</t>
  </si>
  <si>
    <t>パイン</t>
  </si>
  <si>
    <t>マンゴー</t>
  </si>
  <si>
    <t>かぼちゃ</t>
  </si>
  <si>
    <r>
      <rPr>
        <sz val="10"/>
        <rFont val="ＭＳ Ｐゴシック"/>
        <family val="3"/>
      </rPr>
      <t>水稲１期</t>
    </r>
    <r>
      <rPr>
        <sz val="10"/>
        <rFont val="Arial"/>
        <family val="2"/>
      </rPr>
      <t>(2</t>
    </r>
    <r>
      <rPr>
        <sz val="10"/>
        <rFont val="ＭＳ Ｐゴシック"/>
        <family val="3"/>
      </rPr>
      <t>期作</t>
    </r>
    <r>
      <rPr>
        <sz val="10"/>
        <rFont val="Arial"/>
        <family val="2"/>
      </rPr>
      <t>)</t>
    </r>
  </si>
  <si>
    <r>
      <rPr>
        <sz val="10"/>
        <rFont val="ＭＳ Ｐゴシック"/>
        <family val="3"/>
      </rPr>
      <t>水稲２期</t>
    </r>
    <r>
      <rPr>
        <sz val="10"/>
        <rFont val="Arial"/>
        <family val="2"/>
      </rPr>
      <t>(2</t>
    </r>
    <r>
      <rPr>
        <sz val="10"/>
        <rFont val="ＭＳ Ｐゴシック"/>
        <family val="3"/>
      </rPr>
      <t>期作</t>
    </r>
    <r>
      <rPr>
        <sz val="10"/>
        <rFont val="Arial"/>
        <family val="2"/>
      </rPr>
      <t>)</t>
    </r>
  </si>
  <si>
    <r>
      <rPr>
        <sz val="10"/>
        <rFont val="ＭＳ Ｐゴシック"/>
        <family val="3"/>
      </rPr>
      <t>ゴーヤー</t>
    </r>
    <r>
      <rPr>
        <sz val="10"/>
        <rFont val="Arial"/>
        <family val="2"/>
      </rPr>
      <t>(</t>
    </r>
    <r>
      <rPr>
        <sz val="10"/>
        <rFont val="ＭＳ Ｐゴシック"/>
        <family val="3"/>
      </rPr>
      <t>施設</t>
    </r>
    <r>
      <rPr>
        <sz val="10"/>
        <rFont val="Arial"/>
        <family val="2"/>
      </rPr>
      <t>)</t>
    </r>
  </si>
  <si>
    <t>販売経費</t>
  </si>
  <si>
    <t>春+株</t>
  </si>
  <si>
    <t>肥料費</t>
  </si>
  <si>
    <t>肥料費</t>
  </si>
  <si>
    <t>肥料費</t>
  </si>
  <si>
    <t>H24品目別技術体系・収益性事例</t>
  </si>
  <si>
    <t>サトウキビ(春+株)</t>
  </si>
  <si>
    <t>パイン</t>
  </si>
  <si>
    <t>4年２収</t>
  </si>
  <si>
    <t>3年1収</t>
  </si>
  <si>
    <r>
      <t>5000</t>
    </r>
    <r>
      <rPr>
        <sz val="11"/>
        <rFont val="ＭＳ Ｐゴシック"/>
        <family val="3"/>
      </rPr>
      <t>円</t>
    </r>
    <r>
      <rPr>
        <sz val="11"/>
        <rFont val="Arial"/>
        <family val="2"/>
      </rPr>
      <t>×</t>
    </r>
    <r>
      <rPr>
        <sz val="11"/>
        <rFont val="ＭＳ Ｐゴシック"/>
        <family val="3"/>
      </rPr>
      <t>出荷頭数の８割</t>
    </r>
  </si>
  <si>
    <r>
      <rPr>
        <sz val="11"/>
        <rFont val="ＭＳ Ｐゴシック"/>
        <family val="3"/>
      </rPr>
      <t>指標</t>
    </r>
    <r>
      <rPr>
        <sz val="11"/>
        <rFont val="Arial"/>
        <family val="2"/>
      </rPr>
      <t>500,000×0.5</t>
    </r>
    <r>
      <rPr>
        <sz val="11"/>
        <rFont val="ＭＳ Ｐゴシック"/>
        <family val="3"/>
      </rPr>
      <t>＝</t>
    </r>
    <r>
      <rPr>
        <sz val="11"/>
        <rFont val="Arial"/>
        <family val="2"/>
      </rPr>
      <t>250,000</t>
    </r>
  </si>
  <si>
    <r>
      <rPr>
        <sz val="10"/>
        <rFont val="ＭＳ Ｐゴシック"/>
        <family val="3"/>
      </rPr>
      <t>サトウキビ</t>
    </r>
    <r>
      <rPr>
        <sz val="10"/>
        <rFont val="Arial"/>
        <family val="2"/>
      </rPr>
      <t>(</t>
    </r>
    <r>
      <rPr>
        <sz val="10"/>
        <rFont val="ＭＳ Ｐゴシック"/>
        <family val="3"/>
      </rPr>
      <t>春</t>
    </r>
    <r>
      <rPr>
        <sz val="10"/>
        <rFont val="Arial"/>
        <family val="2"/>
      </rPr>
      <t>+</t>
    </r>
    <r>
      <rPr>
        <sz val="10"/>
        <rFont val="ＭＳ Ｐゴシック"/>
        <family val="3"/>
      </rPr>
      <t>株</t>
    </r>
    <r>
      <rPr>
        <sz val="10"/>
        <rFont val="Arial"/>
        <family val="2"/>
      </rPr>
      <t>)</t>
    </r>
  </si>
  <si>
    <r>
      <rPr>
        <sz val="10"/>
        <rFont val="ＭＳ Ｐゴシック"/>
        <family val="3"/>
      </rPr>
      <t>サトウキビ</t>
    </r>
    <r>
      <rPr>
        <sz val="10"/>
        <rFont val="Arial"/>
        <family val="2"/>
      </rPr>
      <t>(</t>
    </r>
    <r>
      <rPr>
        <sz val="10"/>
        <rFont val="ＭＳ Ｐゴシック"/>
        <family val="3"/>
      </rPr>
      <t>夏</t>
    </r>
    <r>
      <rPr>
        <sz val="10"/>
        <rFont val="Arial"/>
        <family val="2"/>
      </rPr>
      <t>)</t>
    </r>
  </si>
  <si>
    <t>夏</t>
  </si>
  <si>
    <t>妻</t>
  </si>
  <si>
    <t>合計(時間)</t>
  </si>
  <si>
    <t>合計(時間)</t>
  </si>
  <si>
    <t>北部</t>
  </si>
  <si>
    <t>アテモヤ（冬果）</t>
  </si>
  <si>
    <t>雲州みかん（露地）</t>
  </si>
  <si>
    <t>ゴーヤー</t>
  </si>
  <si>
    <t>八重山</t>
  </si>
  <si>
    <t>宮古</t>
  </si>
  <si>
    <t>トルコギキョウ（4-5月出荷）</t>
  </si>
  <si>
    <t>かぼちゃ（抑制・露地）</t>
  </si>
  <si>
    <t>南部</t>
  </si>
  <si>
    <t>モンステラ（周年）</t>
  </si>
  <si>
    <t>かんしょ（加工用・春植）</t>
  </si>
  <si>
    <t>H27.3品目別技術体系・収益性事例</t>
  </si>
  <si>
    <t>目標の部　１０アール当収益性指標　入力表</t>
  </si>
  <si>
    <t>経営改善計画　添付書類（肥育牛）　５年後の目標</t>
  </si>
  <si>
    <t>５年後の目標</t>
  </si>
  <si>
    <r>
      <rPr>
        <sz val="11"/>
        <rFont val="ＭＳ Ｐ明朝"/>
        <family val="1"/>
      </rPr>
      <t>時間</t>
    </r>
  </si>
  <si>
    <t>経営改善計画　添付書類（繁殖牛）　５年後の目標</t>
  </si>
  <si>
    <t>　①経産牛</t>
  </si>
  <si>
    <t>　②未経産牛</t>
  </si>
  <si>
    <r>
      <rPr>
        <sz val="10"/>
        <rFont val="ＭＳ Ｐゴシック"/>
        <family val="3"/>
      </rPr>
      <t>①</t>
    </r>
  </si>
  <si>
    <r>
      <rPr>
        <sz val="10"/>
        <rFont val="ＭＳ Ｐゴシック"/>
        <family val="3"/>
      </rPr>
      <t>②</t>
    </r>
  </si>
  <si>
    <t>　年間繰り入れ頭数</t>
  </si>
  <si>
    <r>
      <rPr>
        <sz val="10"/>
        <rFont val="ＭＳ Ｐゴシック"/>
        <family val="3"/>
      </rPr>
      <t>③</t>
    </r>
  </si>
  <si>
    <t>①－（②＋③）＝</t>
  </si>
  <si>
    <t>肥育もと牛</t>
  </si>
  <si>
    <t>経営安定対策積立金</t>
  </si>
  <si>
    <t>カニステル　（露地）</t>
  </si>
  <si>
    <t>砂利</t>
  </si>
  <si>
    <t>借入地には〇</t>
  </si>
  <si>
    <t>様式第１号(第３条関係)</t>
  </si>
  <si>
    <t>農業経営改善計画認定申請書</t>
  </si>
  <si>
    <t>石　垣　市　長　　　様</t>
  </si>
  <si>
    <t>申請者</t>
  </si>
  <si>
    <t>連絡先</t>
  </si>
  <si>
    <t>フリガナ</t>
  </si>
  <si>
    <t>フリガナ</t>
  </si>
  <si>
    <t>個人・法人名</t>
  </si>
  <si>
    <t>(印)</t>
  </si>
  <si>
    <t>代表者氏名
（法人のみ）</t>
  </si>
  <si>
    <t>生年月日・
法人設立年月日　　　　　　　　　　　　　　　　　　　　　　　　　　　　　　　　　　</t>
  </si>
  <si>
    <t>　　　　　　　　　　　</t>
  </si>
  <si>
    <t>法人番号</t>
  </si>
  <si>
    <t xml:space="preserve">  農業経営基盤強化促進法（昭和５５年法律第６５号）第１２条第１項の規定に基づき、次の農業経営改善計画の認定を申請します。</t>
  </si>
  <si>
    <t>農　業　経　営　改　善　計　画</t>
  </si>
  <si>
    <t>①農業経営体の営農活動の現状及び目標</t>
  </si>
  <si>
    <t>（１）営農類型</t>
  </si>
  <si>
    <t>目標（　　年）</t>
  </si>
  <si>
    <t xml:space="preserve">□稲作 □麦類作 □雑穀・いも類・豆類 □工芸農作物 □露地野菜 </t>
  </si>
  <si>
    <t>□複合経営</t>
  </si>
  <si>
    <t>□施設野菜 □果樹類 □花き・花木　□その他の作物（　　　）</t>
  </si>
  <si>
    <t>□施設野菜 □果樹類 □花き・花木　□その他の作物（　　　　）</t>
  </si>
  <si>
    <t>□酪  農 □肉用牛 □養  豚 □養  鶏 □養　蚕 □その他の畜産（　　　　　）</t>
  </si>
  <si>
    <t>□酪  農 □肉用牛 □養  豚 □養  鶏 □養　蚕 □その他の畜産（　　　　　）</t>
  </si>
  <si>
    <t>（２）農業経営の現状及びその改善に関する目標</t>
  </si>
  <si>
    <t>目標（　　　年）</t>
  </si>
  <si>
    <t>主たる従事者の人数</t>
  </si>
  <si>
    <t>人</t>
  </si>
  <si>
    <t>年間所得</t>
  </si>
  <si>
    <t>主たる従事者１人
当たりの年間所得</t>
  </si>
  <si>
    <t>主たる従事者１人
当たりの年間労働時間</t>
  </si>
  <si>
    <t>②農業経営の規模拡大に関する現状及び目標</t>
  </si>
  <si>
    <t>（１）生産</t>
  </si>
  <si>
    <t>（２）農畜産物の加工・販売その他の
　関連・附帯事業（売上げ）</t>
  </si>
  <si>
    <t>作目・部門名
（耕　　種）</t>
  </si>
  <si>
    <t>現      状</t>
  </si>
  <si>
    <t>作目・部門名
（畜　　産）</t>
  </si>
  <si>
    <t>作付面積(a)</t>
  </si>
  <si>
    <t>生産量</t>
  </si>
  <si>
    <t>作付面積(a)</t>
  </si>
  <si>
    <t>飼養頭数（頭、羽）</t>
  </si>
  <si>
    <t>事  業  内　容</t>
  </si>
  <si>
    <t>現    状</t>
  </si>
  <si>
    <t>目   標（    年）</t>
  </si>
  <si>
    <t>a</t>
  </si>
  <si>
    <t>a</t>
  </si>
  <si>
    <t>a</t>
  </si>
  <si>
    <t>a</t>
  </si>
  <si>
    <t>（３）農用地及び農業生産施設</t>
  </si>
  <si>
    <t>ア農用地</t>
  </si>
  <si>
    <t>イ農業生産施設</t>
  </si>
  <si>
    <t>区   分</t>
  </si>
  <si>
    <t>所在地</t>
  </si>
  <si>
    <t>地目</t>
  </si>
  <si>
    <t>現　状
(a)</t>
  </si>
  <si>
    <t>目標（  　年）
(a)</t>
  </si>
  <si>
    <t>種　別</t>
  </si>
  <si>
    <t>規　　模</t>
  </si>
  <si>
    <t>都道府県名</t>
  </si>
  <si>
    <t>市町村名</t>
  </si>
  <si>
    <t>現　状</t>
  </si>
  <si>
    <t>目標（　  年）</t>
  </si>
  <si>
    <t>棟</t>
  </si>
  <si>
    <t>㎡</t>
  </si>
  <si>
    <t>所有地</t>
  </si>
  <si>
    <t>a</t>
  </si>
  <si>
    <t>借入地</t>
  </si>
  <si>
    <t>a</t>
  </si>
  <si>
    <t>a</t>
  </si>
  <si>
    <t>その他</t>
  </si>
  <si>
    <t>a</t>
  </si>
  <si>
    <t>a</t>
  </si>
  <si>
    <t>経 営 面 積 合 計</t>
  </si>
  <si>
    <t>経 営 面 積 合 計</t>
  </si>
  <si>
    <t>③生産方式の合理化に関する現状と目標・措置</t>
  </si>
  <si>
    <t>④経営管理の合理化に関する現状と目標・措置</t>
  </si>
  <si>
    <t>⑤農業従事の態様の改善に関する現状と目標・措置</t>
  </si>
  <si>
    <t>⑥その他の農業経営の改善に関する現状と目標・措置</t>
  </si>
  <si>
    <t>（参考）経営の構成</t>
  </si>
  <si>
    <t>（１）構成員・役員</t>
  </si>
  <si>
    <t>（２）雇  用  者</t>
  </si>
  <si>
    <t>氏    名
(法人経営にあっては役員の氏名）</t>
  </si>
  <si>
    <t>年齢</t>
  </si>
  <si>
    <t>性別</t>
  </si>
  <si>
    <t>代表者との続柄(法人経営にあっては役職)</t>
  </si>
  <si>
    <t>見通し（　　年）</t>
  </si>
  <si>
    <t>常時雇（年間）</t>
  </si>
  <si>
    <t>実 人 数</t>
  </si>
  <si>
    <t>現状</t>
  </si>
  <si>
    <t>人</t>
  </si>
  <si>
    <t>見通し</t>
  </si>
  <si>
    <t>担当業務</t>
  </si>
  <si>
    <t>主たる
従事者</t>
  </si>
  <si>
    <t>年間農業
従事時間</t>
  </si>
  <si>
    <t>臨時雇（年間）</t>
  </si>
  <si>
    <t>延べ人数</t>
  </si>
  <si>
    <t>（代表者）</t>
  </si>
  <si>
    <t>（別紙）生産方式の合理化に係る農業用機械等の取得計画</t>
  </si>
  <si>
    <t>農業用機械等の名称</t>
  </si>
  <si>
    <t>数量</t>
  </si>
  <si>
    <t>　「農業用機械等の名称」欄には、生産方式の合理化のために、取得する予定の農業用の機械及び装置、器具及び備品、</t>
  </si>
  <si>
    <t>建物及びその附属設備、構築物並びにソフトウェア等を記載する。</t>
  </si>
  <si>
    <t>（②「（３）農用地及び農業生産施設」に記載しているものは記載不要。）</t>
  </si>
  <si>
    <t>様式第１号の２(第３条関係)</t>
  </si>
  <si>
    <r>
      <rPr>
        <sz val="16"/>
        <color indexed="8"/>
        <rFont val="ＭＳ Ｐゴシック"/>
        <family val="3"/>
      </rPr>
      <t>□</t>
    </r>
    <r>
      <rPr>
        <sz val="11"/>
        <rFont val="ＭＳ Ｐゴシック"/>
        <family val="3"/>
      </rPr>
      <t>　農業経営改善計画</t>
    </r>
  </si>
  <si>
    <r>
      <rPr>
        <sz val="16"/>
        <color indexed="8"/>
        <rFont val="ＭＳ Ｐゴシック"/>
        <family val="3"/>
      </rPr>
      <t>□</t>
    </r>
    <r>
      <rPr>
        <sz val="11"/>
        <rFont val="ＭＳ Ｐゴシック"/>
        <family val="3"/>
      </rPr>
      <t>　青年等就農計画</t>
    </r>
  </si>
  <si>
    <t>の認定に係る個人情報の取扱いについて</t>
  </si>
  <si>
    <t>　以下の個人情報の取扱いについてよくお読みになり、その内容に同意する場合は「個人情報の取扱いの確認」欄に署名、捺印願います。</t>
  </si>
  <si>
    <r>
      <t>　石垣市/沖縄県/国は、農業経営改善計画又は青年等就農計画(以下「経営改善計画等」という。)の認定に際して得た個人情報について、個人情報の保護に関する法律(平成15年法律第57号)等に基づき、適正に管理し、本認定業務の実施のために利用します。　　　　　　　　　　　　　　　　　　　　　　　　　　　　　　　　　　　　　　　　　</t>
    </r>
    <r>
      <rPr>
        <sz val="11"/>
        <color indexed="9"/>
        <rFont val="ＭＳ Ｐゴシック"/>
        <family val="3"/>
      </rPr>
      <t>ー</t>
    </r>
    <r>
      <rPr>
        <sz val="11"/>
        <rFont val="ＭＳ Ｐゴシック"/>
        <family val="3"/>
      </rPr>
      <t>また、石垣市/沖縄県/国は、本認定業務のほか、人・農地プランの作成・見直し、農業委員会の委員の任命、農業協同組合の理事等の選任その他の経営改善等に資する取組に活用するため、必要最小限度内で、下記の関係機関へ提供する場合があります。　　　　　　　　　　　　　　　　　</t>
    </r>
    <r>
      <rPr>
        <sz val="11"/>
        <color indexed="9"/>
        <rFont val="ＭＳ Ｐゴシック"/>
        <family val="3"/>
      </rPr>
      <t>ー</t>
    </r>
    <r>
      <rPr>
        <sz val="11"/>
        <rFont val="ＭＳ Ｐゴシック"/>
        <family val="3"/>
      </rPr>
      <t>このほか、経営改善計画等の実施状況や専門家からの助言等の内容についても、指導等を実施する際のデータとして活用するため、関係機関へ提供する場合があります。</t>
    </r>
  </si>
  <si>
    <t>提供する情報の内容</t>
  </si>
  <si>
    <t>①認定農業者又は認定新規就農者の氏名(法人にあっては名称及び代表者名)及び年齢、②住所、③経営改善計画等の認定の有効期間、④経営改善計画等の内容、⑤経営改善計画等の実施状況や専門家からの助言等の内容　等</t>
  </si>
  <si>
    <t>情報を提供する関係機関</t>
  </si>
  <si>
    <t>国、沖縄県、石垣市、地域農業再生協議会、農業委員会ネットワーク機構、石垣市農業委員会、農業協同組合連合会、沖縄県農業協同組合、沖縄県農業共済組合、石垣島土地改良区、農地利用改善団体、農地中間管理機構、普及指導センター、青年農業者等育成センター、株式会社日本政策金融公庫、沖縄振興開発金融公庫、独立行政法人農業者年金基金、農業経営相談所、石垣島製糖株式会社、その他経営改善計画等の認定支援に係る団体</t>
  </si>
  <si>
    <t>個人情報の取扱いの確認</t>
  </si>
  <si>
    <t>「個人情報の取扱い」に記載された内容について同意します。</t>
  </si>
  <si>
    <t>　　氏名(名称・代表者)</t>
  </si>
  <si>
    <t>　</t>
  </si>
  <si>
    <t xml:space="preserve"> 印</t>
  </si>
  <si>
    <t>　　　　年　　　月　　　日</t>
  </si>
  <si>
    <t>令和　　年    月    日</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</si>
</sst>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_ ;[Red]\-#,##0\ "/>
    <numFmt numFmtId="179" formatCode="#,##0.0_ ;[Red]\-#,##0.0\ "/>
    <numFmt numFmtId="180" formatCode="#,##0.0;[Red]\-#,##0.0"/>
    <numFmt numFmtId="181" formatCode="#,##0_);[Red]\(#,##0\)"/>
    <numFmt numFmtId="182" formatCode="0_ "/>
    <numFmt numFmtId="183" formatCode="0_);[Red]\(0\)"/>
    <numFmt numFmtId="184" formatCode="#,##0.00_ "/>
    <numFmt numFmtId="185" formatCode="0.0_ "/>
    <numFmt numFmtId="186" formatCode="#,##0.0_ "/>
    <numFmt numFmtId="187" formatCode="0.0_);[Red]\(0.0\)"/>
    <numFmt numFmtId="188" formatCode="#,##0.0_);[Red]\(#,##0.0\)"/>
    <numFmt numFmtId="189" formatCode="0.00_ "/>
    <numFmt numFmtId="190" formatCode="#,##0;&quot;△ &quot;#,##0"/>
    <numFmt numFmtId="191" formatCode="[DBNum3]&quot;平成&quot;#&quot;年度&quot;"/>
    <numFmt numFmtId="192" formatCode="[DBNum3]#&quot;年度&quot;"/>
    <numFmt numFmtId="193" formatCode="&quot;(&quot;#,###&quot;)&quot;"/>
    <numFmt numFmtId="194" formatCode="&quot;(&quot;#,##0&quot;)&quot;"/>
    <numFmt numFmtId="195" formatCode="&quot;（経産牛数）×（更新率&quot;0.##&quot;）×（育成期間9ヶ月／14ヶ月）&quot;"/>
    <numFmt numFmtId="196" formatCode="&quot;（経産牛数）×（更新率&quot;0.##&quot;）×（育成期間5ヶ月／12ヶ月）&quot;"/>
    <numFmt numFmtId="197" formatCode="&quot;（繁殖牛数）×（生産率&quot;0.##&quot;）×（出荷まで8ヶ月／12ヶ月）&quot;"/>
    <numFmt numFmtId="198" formatCode="&quot;（繁殖牛数）×（生産率&quot;0.##&quot;）&quot;"/>
    <numFmt numFmtId="199" formatCode="&quot;更新率&quot;0.##"/>
    <numFmt numFmtId="200" formatCode="&quot;（子牛年間繰り入れ頭数）×（１－事故率&quot;0.##&quot;）－（育成牛繰り入れ頭数）&quot;"/>
    <numFmt numFmtId="201" formatCode="&quot;（飼養頭数）×（365日／肥育期間570日）×（１－事故率&quot;0.##&quot;）&quot;"/>
    <numFmt numFmtId="202" formatCode="&quot;現状　（&quot;#&quot;年）&quot;"/>
    <numFmt numFmtId="203" formatCode="&quot;目標　（&quot;#&quot;年）&quot;"/>
    <numFmt numFmtId="204" formatCode="&quot;Yes&quot;;&quot;Yes&quot;;&quot;No&quot;"/>
    <numFmt numFmtId="205" formatCode="&quot;True&quot;;&quot;True&quot;;&quot;False&quot;"/>
    <numFmt numFmtId="206" formatCode="&quot;On&quot;;&quot;On&quot;;&quot;Off&quot;"/>
    <numFmt numFmtId="207" formatCode="[$€-2]\ #,##0.00_);[Red]\([$€-2]\ #,##0.00\)"/>
  </numFmts>
  <fonts count="104">
    <font>
      <sz val="11"/>
      <name val="ＭＳ Ｐゴシック"/>
      <family val="3"/>
    </font>
    <font>
      <sz val="11"/>
      <color indexed="8"/>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sz val="14"/>
      <name val="ＭＳ Ｐ明朝"/>
      <family val="1"/>
    </font>
    <font>
      <sz val="12"/>
      <name val="ＭＳ Ｐ明朝"/>
      <family val="1"/>
    </font>
    <font>
      <sz val="12"/>
      <name val="ＭＳ Ｐゴシック"/>
      <family val="3"/>
    </font>
    <font>
      <sz val="10"/>
      <name val="ＭＳ Ｐゴシック"/>
      <family val="3"/>
    </font>
    <font>
      <b/>
      <sz val="12"/>
      <name val="ＭＳ Ｐゴシック"/>
      <family val="3"/>
    </font>
    <font>
      <b/>
      <sz val="16"/>
      <name val="ＭＳ Ｐゴシック"/>
      <family val="3"/>
    </font>
    <font>
      <b/>
      <sz val="11"/>
      <name val="ＭＳ Ｐゴシック"/>
      <family val="3"/>
    </font>
    <font>
      <sz val="8"/>
      <name val="ＭＳ Ｐゴシック"/>
      <family val="3"/>
    </font>
    <font>
      <sz val="14"/>
      <name val="ＭＳ Ｐゴシック"/>
      <family val="3"/>
    </font>
    <font>
      <sz val="9"/>
      <name val="ＭＳ Ｐゴシック"/>
      <family val="3"/>
    </font>
    <font>
      <b/>
      <sz val="16"/>
      <name val="ＭＳ Ｐ明朝"/>
      <family val="1"/>
    </font>
    <font>
      <b/>
      <sz val="11"/>
      <name val="ＭＳ Ｐ明朝"/>
      <family val="1"/>
    </font>
    <font>
      <sz val="11"/>
      <name val="ＭＳ ゴシック"/>
      <family val="3"/>
    </font>
    <font>
      <sz val="6"/>
      <name val="ＭＳ Ｐ明朝"/>
      <family val="1"/>
    </font>
    <font>
      <sz val="6"/>
      <name val="ＭＳ 明朝"/>
      <family val="1"/>
    </font>
    <font>
      <sz val="12"/>
      <name val="ＭＳ ゴシック"/>
      <family val="3"/>
    </font>
    <font>
      <sz val="10"/>
      <name val="ＭＳ ゴシック"/>
      <family val="3"/>
    </font>
    <font>
      <sz val="10"/>
      <name val="ＭＳ 明朝"/>
      <family val="1"/>
    </font>
    <font>
      <sz val="14"/>
      <name val="HGS明朝E"/>
      <family val="1"/>
    </font>
    <font>
      <sz val="12"/>
      <name val="ＤＦ平成明朝体W7"/>
      <family val="3"/>
    </font>
    <font>
      <sz val="12"/>
      <name val="ＤＨＰ平成明朝体W3"/>
      <family val="3"/>
    </font>
    <font>
      <sz val="12"/>
      <name val="HG創英ﾌﾟﾚｾﾞﾝｽEB"/>
      <family val="1"/>
    </font>
    <font>
      <sz val="9"/>
      <name val="ＭＳ ゴシック"/>
      <family val="3"/>
    </font>
    <font>
      <sz val="16"/>
      <name val="ＭＳ Ｐ明朝"/>
      <family val="1"/>
    </font>
    <font>
      <sz val="12"/>
      <name val="Arial"/>
      <family val="2"/>
    </font>
    <font>
      <sz val="11"/>
      <name val="Arial"/>
      <family val="2"/>
    </font>
    <font>
      <sz val="10"/>
      <name val="Arial"/>
      <family val="2"/>
    </font>
    <font>
      <sz val="9"/>
      <name val="Arial"/>
      <family val="2"/>
    </font>
    <font>
      <sz val="16"/>
      <name val="HGｺﾞｼｯｸE"/>
      <family val="3"/>
    </font>
    <font>
      <sz val="11"/>
      <name val="HGｺﾞｼｯｸE"/>
      <family val="3"/>
    </font>
    <font>
      <sz val="8"/>
      <name val="Arial"/>
      <family val="2"/>
    </font>
    <font>
      <sz val="14"/>
      <name val="HGｺﾞｼｯｸE"/>
      <family val="3"/>
    </font>
    <font>
      <sz val="16"/>
      <name val="ＭＳ Ｐゴシック"/>
      <family val="3"/>
    </font>
    <font>
      <b/>
      <sz val="9"/>
      <name val="ＭＳ Ｐゴシック"/>
      <family val="3"/>
    </font>
    <font>
      <b/>
      <sz val="14"/>
      <name val="ＭＳ Ｐゴシック"/>
      <family val="3"/>
    </font>
    <font>
      <b/>
      <sz val="12"/>
      <name val="Arial"/>
      <family val="2"/>
    </font>
    <font>
      <b/>
      <sz val="12"/>
      <name val="MS P ゴシック"/>
      <family val="3"/>
    </font>
    <font>
      <b/>
      <sz val="14"/>
      <name val="Arial"/>
      <family val="2"/>
    </font>
    <font>
      <b/>
      <sz val="14"/>
      <name val="MS P ゴシック"/>
      <family val="3"/>
    </font>
    <font>
      <sz val="11"/>
      <color indexed="9"/>
      <name val="ＭＳ Ｐゴシック"/>
      <family val="3"/>
    </font>
    <font>
      <sz val="11"/>
      <name val="ＤＦ平成明朝体W7"/>
      <family val="3"/>
    </font>
    <font>
      <sz val="18"/>
      <name val="ＭＳ 明朝"/>
      <family val="1"/>
    </font>
    <font>
      <sz val="16"/>
      <name val="ＭＳ 明朝"/>
      <family val="1"/>
    </font>
    <font>
      <sz val="18"/>
      <name val="ＭＳ Ｐゴシック"/>
      <family val="3"/>
    </font>
    <font>
      <sz val="14"/>
      <name val="ＭＳ 明朝"/>
      <family val="1"/>
    </font>
    <font>
      <sz val="12"/>
      <name val="ＭＳ 明朝"/>
      <family val="1"/>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Arial"/>
      <family val="2"/>
    </font>
    <font>
      <sz val="11"/>
      <color indexed="9"/>
      <name val="ＭＳ Ｐ明朝"/>
      <family val="1"/>
    </font>
    <font>
      <sz val="18"/>
      <color indexed="8"/>
      <name val="ＭＳ 明朝"/>
      <family val="1"/>
    </font>
    <font>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Arial"/>
      <family val="2"/>
    </font>
    <font>
      <sz val="14"/>
      <name val="Calibri"/>
      <family val="3"/>
    </font>
    <font>
      <sz val="11"/>
      <name val="Calibri"/>
      <family val="3"/>
    </font>
    <font>
      <sz val="11"/>
      <color theme="0"/>
      <name val="ＭＳ Ｐ明朝"/>
      <family val="1"/>
    </font>
    <font>
      <sz val="10"/>
      <name val="Calibri"/>
      <family val="3"/>
    </font>
    <font>
      <sz val="18"/>
      <color rgb="FF000000"/>
      <name val="ＭＳ 明朝"/>
      <family val="1"/>
    </font>
    <font>
      <sz val="16"/>
      <color rgb="FF000000"/>
      <name val="ＭＳ 明朝"/>
      <family val="1"/>
    </font>
    <font>
      <sz val="18"/>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3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style="hair"/>
      <top/>
      <bottom style="hair"/>
    </border>
    <border>
      <left/>
      <right style="thin"/>
      <top style="hair"/>
      <bottom style="hair"/>
    </border>
    <border>
      <left style="hair"/>
      <right/>
      <top/>
      <bottom style="thin"/>
    </border>
    <border>
      <left style="thin"/>
      <right style="hair"/>
      <top style="hair"/>
      <bottom style="hair"/>
    </border>
    <border>
      <left/>
      <right style="hair"/>
      <top style="thin"/>
      <bottom style="hair"/>
    </border>
    <border>
      <left/>
      <right style="hair"/>
      <top style="hair"/>
      <bottom style="hair"/>
    </border>
    <border>
      <left/>
      <right style="hair"/>
      <top style="hair"/>
      <bottom style="thin"/>
    </border>
    <border>
      <left/>
      <right style="hair"/>
      <top/>
      <bottom style="thin"/>
    </border>
    <border>
      <left/>
      <right/>
      <top style="hair"/>
      <bottom style="hair"/>
    </border>
    <border>
      <left style="thin"/>
      <right style="hair"/>
      <top style="hair"/>
      <bottom style="thin"/>
    </border>
    <border>
      <left/>
      <right/>
      <top style="thin"/>
      <bottom style="hair"/>
    </border>
    <border>
      <left/>
      <right style="thin"/>
      <top style="thin"/>
      <bottom style="hair"/>
    </border>
    <border>
      <left style="hair"/>
      <right style="hair"/>
      <top style="hair"/>
      <bottom style="hair"/>
    </border>
    <border>
      <left style="hair"/>
      <right/>
      <top style="hair"/>
      <bottom style="hair"/>
    </border>
    <border>
      <left style="hair"/>
      <right/>
      <top/>
      <bottom style="hair"/>
    </border>
    <border>
      <left style="hair"/>
      <right/>
      <top style="thin"/>
      <bottom style="thin"/>
    </border>
    <border>
      <left style="hair">
        <color theme="0" tint="-0.4999699890613556"/>
      </left>
      <right style="hair">
        <color theme="0" tint="-0.4999699890613556"/>
      </right>
      <top style="thin">
        <color theme="0" tint="-0.4999699890613556"/>
      </top>
      <bottom style="thin">
        <color theme="0" tint="-0.4999699890613556"/>
      </bottom>
    </border>
    <border>
      <left style="hair">
        <color theme="0" tint="-0.4999699890613556"/>
      </left>
      <right style="thin">
        <color theme="0" tint="-0.4999699890613556"/>
      </right>
      <top style="thin">
        <color theme="0" tint="-0.4999699890613556"/>
      </top>
      <bottom style="thin">
        <color theme="0" tint="-0.4999699890613556"/>
      </bottom>
    </border>
    <border>
      <left/>
      <right style="hair">
        <color theme="0" tint="-0.4999699890613556"/>
      </right>
      <top style="thin">
        <color theme="0" tint="-0.4999699890613556"/>
      </top>
      <bottom style="hair">
        <color theme="0" tint="-0.4999699890613556"/>
      </bottom>
    </border>
    <border>
      <left style="hair">
        <color theme="0" tint="-0.4999699890613556"/>
      </left>
      <right style="hair">
        <color theme="0" tint="-0.4999699890613556"/>
      </right>
      <top style="thin">
        <color theme="0" tint="-0.4999699890613556"/>
      </top>
      <bottom style="hair">
        <color theme="0" tint="-0.4999699890613556"/>
      </bottom>
    </border>
    <border>
      <left style="hair">
        <color theme="0" tint="-0.4999699890613556"/>
      </left>
      <right style="thin">
        <color theme="0" tint="-0.4999699890613556"/>
      </right>
      <top style="thin">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thin">
        <color theme="0" tint="-0.4999699890613556"/>
      </right>
      <top style="hair">
        <color theme="0" tint="-0.4999699890613556"/>
      </top>
      <bottom style="hair">
        <color theme="0" tint="-0.4999699890613556"/>
      </bottom>
    </border>
    <border>
      <left style="hair">
        <color theme="0" tint="-0.4999699890613556"/>
      </left>
      <right style="thin">
        <color theme="0" tint="-0.4999699890613556"/>
      </right>
      <top style="hair">
        <color theme="0" tint="-0.4999699890613556"/>
      </top>
      <bottom style="thin">
        <color theme="0" tint="-0.4999699890613556"/>
      </bottom>
    </border>
    <border>
      <left style="hair">
        <color theme="0" tint="-0.4999699890613556"/>
      </left>
      <right style="hair">
        <color theme="0" tint="-0.4999699890613556"/>
      </right>
      <top/>
      <bottom style="thin">
        <color theme="0" tint="-0.4999699890613556"/>
      </bottom>
    </border>
    <border>
      <left style="hair">
        <color theme="0" tint="-0.4999699890613556"/>
      </left>
      <right style="thin">
        <color theme="0" tint="-0.4999699890613556"/>
      </right>
      <top/>
      <bottom style="thin">
        <color theme="0" tint="-0.4999699890613556"/>
      </bottom>
    </border>
    <border>
      <left/>
      <right style="hair">
        <color theme="0" tint="-0.4999699890613556"/>
      </right>
      <top style="hair">
        <color theme="0" tint="-0.4999699890613556"/>
      </top>
      <bottom style="thin">
        <color theme="0" tint="-0.4999699890613556"/>
      </bottom>
    </border>
    <border>
      <left style="hair">
        <color theme="0" tint="-0.4999699890613556"/>
      </left>
      <right style="hair">
        <color theme="0" tint="-0.4999699890613556"/>
      </right>
      <top style="hair">
        <color theme="0" tint="-0.4999699890613556"/>
      </top>
      <bottom style="thin">
        <color theme="0" tint="-0.4999699890613556"/>
      </bottom>
    </border>
    <border>
      <left style="thin">
        <color theme="0" tint="-0.4999699890613556"/>
      </left>
      <right style="hair">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hair">
        <color theme="0" tint="-0.4999699890613556"/>
      </bottom>
    </border>
    <border>
      <left style="thin">
        <color theme="0" tint="-0.4999699890613556"/>
      </left>
      <right style="hair">
        <color theme="0" tint="-0.4999699890613556"/>
      </right>
      <top style="hair">
        <color theme="0" tint="-0.4999699890613556"/>
      </top>
      <bottom style="thin">
        <color theme="0" tint="-0.4999699890613556"/>
      </bottom>
    </border>
    <border>
      <left style="thin">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border>
    <border>
      <left style="medium">
        <color theme="0" tint="-0.4999699890613556"/>
      </left>
      <right style="thin">
        <color theme="0" tint="-0.4999699890613556"/>
      </right>
      <top style="medium">
        <color theme="0" tint="-0.4999699890613556"/>
      </top>
      <bottom style="medium">
        <color theme="0" tint="-0.4999699890613556"/>
      </bottom>
    </border>
    <border>
      <left/>
      <right style="hair">
        <color theme="0" tint="-0.4999699890613556"/>
      </right>
      <top style="hair">
        <color theme="0" tint="-0.4999699890613556"/>
      </top>
      <bottom/>
    </border>
    <border>
      <left style="hair">
        <color theme="0" tint="-0.4999699890613556"/>
      </left>
      <right style="thin">
        <color theme="0" tint="-0.4999699890613556"/>
      </right>
      <top style="hair">
        <color theme="0" tint="-0.4999699890613556"/>
      </top>
      <bottom/>
    </border>
    <border>
      <left style="thin">
        <color theme="0" tint="-0.4999699890613556"/>
      </left>
      <right style="hair">
        <color theme="0" tint="-0.4999699890613556"/>
      </right>
      <top style="thin">
        <color theme="0" tint="-0.4999699890613556"/>
      </top>
      <bottom style="thin">
        <color theme="0" tint="-0.4999699890613556"/>
      </bottom>
    </border>
    <border>
      <left style="thin">
        <color theme="0" tint="-0.4999699890613556"/>
      </left>
      <right style="hair">
        <color theme="0" tint="-0.4999699890613556"/>
      </right>
      <top/>
      <bottom style="hair">
        <color theme="0" tint="-0.4999699890613556"/>
      </bottom>
    </border>
    <border>
      <left style="hair">
        <color theme="0" tint="-0.4999699890613556"/>
      </left>
      <right style="thin">
        <color theme="0" tint="-0.4999699890613556"/>
      </right>
      <top/>
      <bottom style="hair">
        <color theme="0" tint="-0.4999699890613556"/>
      </bottom>
    </border>
    <border>
      <left/>
      <right style="hair">
        <color theme="0" tint="-0.4999699890613556"/>
      </right>
      <top style="thin">
        <color theme="0" tint="-0.4999699890613556"/>
      </top>
      <bottom style="thin">
        <color theme="0" tint="-0.4999699890613556"/>
      </bottom>
    </border>
    <border>
      <left/>
      <right style="hair">
        <color theme="0" tint="-0.4999699890613556"/>
      </right>
      <top/>
      <bottom style="hair">
        <color theme="0" tint="-0.4999699890613556"/>
      </bottom>
    </border>
    <border>
      <left style="hair">
        <color theme="0" tint="-0.4999699890613556"/>
      </left>
      <right style="thin">
        <color theme="0" tint="-0.4999699890613556"/>
      </right>
      <top style="thin">
        <color theme="0" tint="-0.4999699890613556"/>
      </top>
      <bottom/>
    </border>
    <border>
      <left/>
      <right style="thin">
        <color theme="0" tint="-0.4999699890613556"/>
      </right>
      <top style="thin">
        <color theme="0" tint="-0.4999699890613556"/>
      </top>
      <bottom style="thin">
        <color theme="0" tint="-0.4999699890613556"/>
      </bottom>
    </border>
    <border>
      <left/>
      <right style="thin">
        <color theme="0" tint="-0.4999699890613556"/>
      </right>
      <top style="thin">
        <color theme="0" tint="-0.4999699890613556"/>
      </top>
      <bottom style="hair">
        <color theme="0" tint="-0.4999699890613556"/>
      </bottom>
    </border>
    <border>
      <left/>
      <right style="thin">
        <color theme="0" tint="-0.4999699890613556"/>
      </right>
      <top style="hair">
        <color theme="0" tint="-0.4999699890613556"/>
      </top>
      <bottom style="hair">
        <color theme="0" tint="-0.4999699890613556"/>
      </bottom>
    </border>
    <border>
      <left/>
      <right style="thin">
        <color theme="0" tint="-0.4999699890613556"/>
      </right>
      <top style="hair">
        <color theme="0" tint="-0.4999699890613556"/>
      </top>
      <bottom/>
    </border>
    <border>
      <left style="hair">
        <color theme="0" tint="-0.4999699890613556"/>
      </left>
      <right style="hair">
        <color theme="0" tint="-0.4999699890613556"/>
      </right>
      <top/>
      <bottom style="hair">
        <color theme="0" tint="-0.4999699890613556"/>
      </bottom>
    </border>
    <border>
      <left style="thin">
        <color theme="0" tint="-0.4999699890613556"/>
      </left>
      <right/>
      <top style="thin">
        <color theme="0" tint="-0.4999699890613556"/>
      </top>
      <bottom style="thin">
        <color theme="0" tint="-0.4999699890613556"/>
      </bottom>
    </border>
    <border>
      <left style="thin">
        <color theme="0" tint="-0.4999699890613556"/>
      </left>
      <right/>
      <top/>
      <bottom style="hair">
        <color theme="0" tint="-0.4999699890613556"/>
      </bottom>
    </border>
    <border>
      <left/>
      <right style="thin">
        <color theme="0" tint="-0.4999699890613556"/>
      </right>
      <top/>
      <bottom style="hair">
        <color theme="0" tint="-0.4999699890613556"/>
      </bottom>
    </border>
    <border>
      <left style="thin">
        <color theme="0" tint="-0.4999699890613556"/>
      </left>
      <right/>
      <top style="hair">
        <color theme="0" tint="-0.4999699890613556"/>
      </top>
      <bottom style="thin">
        <color theme="0" tint="-0.4999699890613556"/>
      </bottom>
    </border>
    <border>
      <left/>
      <right style="thin">
        <color theme="0" tint="-0.4999699890613556"/>
      </right>
      <top style="hair">
        <color theme="0" tint="-0.4999699890613556"/>
      </top>
      <bottom style="thin">
        <color theme="0" tint="-0.4999699890613556"/>
      </bottom>
    </border>
    <border>
      <left style="thin">
        <color theme="0" tint="-0.4999699890613556"/>
      </left>
      <right/>
      <top style="thin">
        <color theme="0" tint="-0.4999699890613556"/>
      </top>
      <bottom style="hair">
        <color theme="0" tint="-0.4999699890613556"/>
      </bottom>
    </border>
    <border>
      <left style="thin">
        <color theme="0" tint="-0.4999699890613556"/>
      </left>
      <right/>
      <top style="hair">
        <color theme="0" tint="-0.4999699890613556"/>
      </top>
      <bottom style="hair">
        <color theme="0" tint="-0.4999699890613556"/>
      </bottom>
    </border>
    <border>
      <left style="thin">
        <color theme="0" tint="-0.4999699890613556"/>
      </left>
      <right/>
      <top style="hair">
        <color theme="0" tint="-0.4999699890613556"/>
      </top>
      <bottom/>
    </border>
    <border>
      <left/>
      <right/>
      <top style="thin">
        <color theme="0" tint="-0.4999699890613556"/>
      </top>
      <bottom style="thin">
        <color theme="0" tint="-0.4999699890613556"/>
      </bottom>
    </border>
    <border>
      <left style="hair">
        <color theme="0" tint="-0.4999699890613556"/>
      </left>
      <right style="thin">
        <color theme="0" tint="-0.4999699890613556"/>
      </right>
      <top/>
      <bottom/>
    </border>
    <border>
      <left/>
      <right style="hair"/>
      <top style="thin"/>
      <bottom style="thin"/>
    </border>
    <border>
      <left style="hair"/>
      <right style="hair"/>
      <top style="thin"/>
      <bottom style="thin"/>
    </border>
    <border>
      <left style="thin"/>
      <right style="thin"/>
      <top style="thin"/>
      <bottom style="thin"/>
    </border>
    <border>
      <left/>
      <right style="hair"/>
      <top/>
      <bottom style="hair"/>
    </border>
    <border>
      <left style="hair"/>
      <right style="hair"/>
      <top/>
      <bottom style="hair"/>
    </border>
    <border>
      <left style="thin"/>
      <right style="thin"/>
      <top/>
      <bottom style="hair"/>
    </border>
    <border>
      <left style="thin"/>
      <right style="thin"/>
      <top style="hair"/>
      <bottom style="hair"/>
    </border>
    <border>
      <left/>
      <right style="hair"/>
      <top style="thin">
        <color theme="0" tint="-0.4999699890613556"/>
      </top>
      <bottom style="thin">
        <color theme="0" tint="-0.4999699890613556"/>
      </bottom>
    </border>
    <border>
      <left style="hair"/>
      <right style="hair"/>
      <top style="thin">
        <color theme="0" tint="-0.4999699890613556"/>
      </top>
      <bottom style="thin">
        <color theme="0" tint="-0.4999699890613556"/>
      </bottom>
    </border>
    <border>
      <left style="hair"/>
      <right style="thin">
        <color theme="0" tint="-0.4999699890613556"/>
      </right>
      <top style="thin">
        <color theme="0" tint="-0.4999699890613556"/>
      </top>
      <bottom style="thin">
        <color theme="0" tint="-0.4999699890613556"/>
      </bottom>
    </border>
    <border>
      <left style="hair">
        <color theme="0" tint="-0.4999699890613556"/>
      </left>
      <right/>
      <top style="thin">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hair">
        <color theme="0" tint="-0.4999699890613556"/>
      </left>
      <right/>
      <top style="hair">
        <color theme="0" tint="-0.4999699890613556"/>
      </top>
      <bottom/>
    </border>
    <border>
      <left style="hair">
        <color theme="0" tint="-0.4999699890613556"/>
      </left>
      <right/>
      <top style="thin">
        <color theme="0" tint="-0.4999699890613556"/>
      </top>
      <bottom style="thin">
        <color theme="0" tint="-0.4999699890613556"/>
      </bottom>
    </border>
    <border>
      <left style="hair"/>
      <right/>
      <top style="thin"/>
      <bottom/>
    </border>
    <border>
      <left style="hair"/>
      <right/>
      <top/>
      <bottom/>
    </border>
    <border>
      <left/>
      <right/>
      <top/>
      <bottom style="hair"/>
    </border>
    <border>
      <left style="thin"/>
      <right/>
      <top/>
      <bottom style="hair"/>
    </border>
    <border>
      <left/>
      <right style="thin"/>
      <top/>
      <bottom style="hair"/>
    </border>
    <border>
      <left/>
      <right style="thin">
        <color theme="0" tint="-0.4999699890613556"/>
      </right>
      <top/>
      <bottom style="thin">
        <color theme="0" tint="-0.4999699890613556"/>
      </bottom>
    </border>
    <border>
      <left style="thin"/>
      <right style="hair"/>
      <top style="thin"/>
      <bottom style="thin"/>
    </border>
    <border>
      <left style="thin"/>
      <right/>
      <top style="thin"/>
      <bottom style="hair"/>
    </border>
    <border>
      <left style="thin"/>
      <right/>
      <top style="hair"/>
      <bottom style="hair"/>
    </border>
    <border>
      <left/>
      <right style="hair">
        <color theme="0" tint="-0.4999699890613556"/>
      </right>
      <top/>
      <bottom/>
    </border>
    <border>
      <left style="hair">
        <color theme="0" tint="-0.4999699890613556"/>
      </left>
      <right style="hair">
        <color theme="0" tint="-0.4999699890613556"/>
      </right>
      <top/>
      <bottom/>
    </border>
    <border>
      <left/>
      <right style="thin"/>
      <top style="hair"/>
      <bottom style="thin"/>
    </border>
    <border>
      <left/>
      <right/>
      <top style="hair"/>
      <bottom style="thin"/>
    </border>
    <border>
      <left/>
      <right style="thin"/>
      <top style="hair"/>
      <bottom/>
    </border>
    <border>
      <left style="thin"/>
      <right style="thin"/>
      <top style="hair"/>
      <bottom>
        <color indexed="63"/>
      </bottom>
    </border>
    <border>
      <left style="hair"/>
      <right style="thin"/>
      <top>
        <color indexed="63"/>
      </top>
      <bottom>
        <color indexed="63"/>
      </bottom>
    </border>
    <border>
      <left style="hair"/>
      <right style="thin"/>
      <top style="hair"/>
      <bottom style="hair"/>
    </border>
    <border>
      <left/>
      <right style="thin">
        <color theme="0" tint="-0.4999699890613556"/>
      </right>
      <top style="thin">
        <color theme="0" tint="-0.4999699890613556"/>
      </top>
      <bottom>
        <color indexed="63"/>
      </bottom>
    </border>
    <border>
      <left/>
      <right style="thin">
        <color theme="0" tint="-0.4999699890613556"/>
      </right>
      <top>
        <color indexed="63"/>
      </top>
      <bottom/>
    </border>
    <border>
      <left style="thin">
        <color theme="0" tint="-0.4999699890613556"/>
      </left>
      <right style="hair">
        <color theme="0" tint="-0.4999699890613556"/>
      </right>
      <top style="thin">
        <color theme="0" tint="-0.4999699890613556"/>
      </top>
      <bottom/>
    </border>
    <border>
      <left style="hair">
        <color theme="0" tint="-0.4999699890613556"/>
      </left>
      <right style="hair">
        <color theme="0" tint="-0.4999699890613556"/>
      </right>
      <top style="thin">
        <color theme="0" tint="-0.4999699890613556"/>
      </top>
      <bottom/>
    </border>
    <border>
      <left style="thin">
        <color theme="0" tint="-0.4999699890613556"/>
      </left>
      <right style="hair">
        <color theme="0" tint="-0.4999699890613556"/>
      </right>
      <top/>
      <bottom/>
    </border>
    <border>
      <left style="hair">
        <color theme="0" tint="-0.4999699890613556"/>
      </left>
      <right/>
      <top style="thin">
        <color theme="0" tint="-0.4999699890613556"/>
      </top>
      <bottom/>
    </border>
    <border>
      <left style="hair">
        <color theme="0" tint="-0.4999699890613556"/>
      </left>
      <right>
        <color indexed="63"/>
      </right>
      <top/>
      <bottom/>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bottom style="thin">
        <color theme="0" tint="-0.4999699890613556"/>
      </bottom>
    </border>
    <border>
      <left/>
      <right style="hair">
        <color theme="0" tint="-0.4999699890613556"/>
      </right>
      <top style="thin">
        <color theme="0" tint="-0.4999699890613556"/>
      </top>
      <bottom/>
    </border>
    <border>
      <left/>
      <right style="hair">
        <color theme="0" tint="-0.4999699890613556"/>
      </right>
      <top/>
      <bottom style="thin">
        <color theme="0" tint="-0.4999699890613556"/>
      </bottom>
    </border>
    <border>
      <left style="hair"/>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thin"/>
      <right/>
      <top style="hair">
        <color theme="0" tint="-0.4999699890613556"/>
      </top>
      <bottom style="hair">
        <color theme="0" tint="-0.4999699890613556"/>
      </bottom>
    </border>
    <border>
      <left style="thin"/>
      <right style="hair"/>
      <top style="thin"/>
      <bottom style="hair"/>
    </border>
    <border>
      <left/>
      <right style="hair"/>
      <top style="thin"/>
      <bottom/>
    </border>
    <border>
      <left style="hair"/>
      <right/>
      <top style="thin"/>
      <bottom style="hair"/>
    </border>
    <border>
      <left style="hair"/>
      <right/>
      <top style="hair"/>
      <bottom style="thin"/>
    </border>
    <border>
      <left style="hair"/>
      <right style="hair"/>
      <top style="thin"/>
      <bottom style="hair"/>
    </border>
    <border>
      <left style="hair"/>
      <right style="hair"/>
      <top style="hair"/>
      <bottom style="thin"/>
    </border>
    <border>
      <left style="hair">
        <color theme="0" tint="-0.4999699890613556"/>
      </left>
      <right/>
      <top/>
      <bottom style="thin">
        <color theme="0" tint="-0.4999699890613556"/>
      </bottom>
    </border>
    <border>
      <left style="hair"/>
      <right style="hair">
        <color theme="0" tint="-0.4999699890613556"/>
      </right>
      <top style="hair"/>
      <bottom style="hair"/>
    </border>
    <border>
      <left style="hair">
        <color theme="0" tint="-0.4999699890613556"/>
      </left>
      <right style="hair">
        <color theme="0" tint="-0.4999699890613556"/>
      </right>
      <top style="hair"/>
      <bottom style="hair"/>
    </border>
    <border>
      <left style="hair">
        <color theme="0" tint="-0.4999699890613556"/>
      </left>
      <right style="hair"/>
      <top style="hair"/>
      <bottom style="hair"/>
    </border>
    <border>
      <left style="medium"/>
      <right style="thin"/>
      <top style="medium"/>
      <bottom style="medium"/>
    </border>
    <border>
      <left/>
      <right/>
      <top style="medium"/>
      <bottom/>
    </border>
    <border>
      <left style="medium"/>
      <right/>
      <top style="thin"/>
      <bottom/>
    </border>
    <border>
      <left style="medium"/>
      <right/>
      <top/>
      <bottom style="medium"/>
    </border>
    <border>
      <left style="thin"/>
      <right/>
      <top/>
      <bottom style="medium"/>
    </border>
    <border>
      <left>
        <color indexed="63"/>
      </left>
      <right style="thin"/>
      <top style="thin"/>
      <bottom style="thin"/>
    </border>
    <border>
      <left style="medium"/>
      <right/>
      <top style="thin"/>
      <bottom style="thin"/>
    </border>
    <border>
      <left/>
      <right/>
      <top style="thin"/>
      <bottom style="thin"/>
    </border>
    <border>
      <left style="thin">
        <color rgb="FF000000"/>
      </left>
      <right/>
      <top/>
      <bottom style="thin"/>
    </border>
    <border>
      <left/>
      <right/>
      <top style="thin">
        <color rgb="FF000000"/>
      </top>
      <bottom style="thin"/>
    </border>
    <border>
      <left style="thin">
        <color rgb="FF000000"/>
      </left>
      <right/>
      <top style="thin">
        <color rgb="FF000000"/>
      </top>
      <bottom style="thin"/>
    </border>
    <border>
      <left/>
      <right style="medium"/>
      <top style="thin">
        <color rgb="FF000000"/>
      </top>
      <bottom style="thin"/>
    </border>
    <border>
      <left/>
      <right style="thin"/>
      <top style="thin">
        <color rgb="FF000000"/>
      </top>
      <bottom style="thin"/>
    </border>
    <border>
      <left style="thin">
        <color rgb="FF000000"/>
      </left>
      <right/>
      <top/>
      <bottom style="thin">
        <color rgb="FF000000"/>
      </bottom>
    </border>
    <border>
      <left/>
      <right style="thin"/>
      <top/>
      <bottom style="thin">
        <color rgb="FF000000"/>
      </bottom>
    </border>
    <border>
      <left/>
      <right/>
      <top/>
      <bottom style="thin">
        <color rgb="FF000000"/>
      </bottom>
    </border>
    <border>
      <left/>
      <right style="medium"/>
      <top/>
      <bottom style="thin">
        <color rgb="FF000000"/>
      </bottom>
    </border>
    <border>
      <left style="thin">
        <color rgb="FF000000"/>
      </left>
      <right/>
      <top/>
      <bottom style="medium"/>
    </border>
    <border>
      <left/>
      <right style="thin"/>
      <top/>
      <bottom style="medium"/>
    </border>
    <border>
      <left/>
      <right/>
      <top/>
      <bottom style="medium"/>
    </border>
    <border>
      <left/>
      <right style="medium"/>
      <top/>
      <bottom style="medium"/>
    </border>
    <border>
      <left style="medium"/>
      <right/>
      <top style="thin"/>
      <bottom style="medium"/>
    </border>
    <border>
      <left/>
      <right/>
      <top style="thin"/>
      <bottom style="medium"/>
    </border>
    <border>
      <left style="thin"/>
      <right style="thin"/>
      <top style="thin">
        <color rgb="FF000000"/>
      </top>
      <bottom style="thin">
        <color rgb="FF000000"/>
      </bottom>
    </border>
    <border>
      <left/>
      <right style="thin"/>
      <top style="thin">
        <color rgb="FF000000"/>
      </top>
      <bottom style="thin">
        <color rgb="FF000000"/>
      </bottom>
    </border>
    <border>
      <left/>
      <right style="medium"/>
      <top style="thin">
        <color rgb="FF000000"/>
      </top>
      <bottom style="thin">
        <color rgb="FF000000"/>
      </bottom>
    </border>
    <border>
      <left style="thin"/>
      <right/>
      <top style="thin">
        <color rgb="FF000000"/>
      </top>
      <bottom style="thin">
        <color rgb="FF000000"/>
      </bottom>
    </border>
    <border>
      <left/>
      <right style="hair"/>
      <top style="thin">
        <color rgb="FF000000"/>
      </top>
      <bottom style="thin">
        <color rgb="FF000000"/>
      </bottom>
    </border>
    <border>
      <left/>
      <right/>
      <top style="thin">
        <color rgb="FF000000"/>
      </top>
      <bottom style="thin">
        <color rgb="FF000000"/>
      </bottom>
    </border>
    <border>
      <left style="thin"/>
      <right style="thin"/>
      <top style="thin">
        <color rgb="FF000000"/>
      </top>
      <bottom style="thin"/>
    </border>
    <border>
      <left/>
      <right style="thin"/>
      <top style="thin">
        <color rgb="FF000000"/>
      </top>
      <bottom/>
    </border>
    <border>
      <left/>
      <right style="medium"/>
      <top style="thin">
        <color rgb="FF000000"/>
      </top>
      <bottom/>
    </border>
    <border>
      <left/>
      <right style="medium"/>
      <top style="thin"/>
      <bottom style="thin"/>
    </border>
    <border>
      <left/>
      <right style="thin"/>
      <top style="thin"/>
      <bottom style="medium"/>
    </border>
    <border>
      <left/>
      <right style="medium"/>
      <top style="thin"/>
      <bottom style="medium"/>
    </border>
    <border>
      <left style="thin"/>
      <right/>
      <top style="thin">
        <color rgb="FF000000"/>
      </top>
      <bottom style="medium"/>
    </border>
    <border>
      <left/>
      <right style="hair"/>
      <top style="thin">
        <color rgb="FF000000"/>
      </top>
      <bottom style="medium"/>
    </border>
    <border>
      <left/>
      <right/>
      <top style="thin">
        <color rgb="FF000000"/>
      </top>
      <bottom style="medium"/>
    </border>
    <border>
      <left/>
      <right style="thin"/>
      <top style="thin">
        <color rgb="FF000000"/>
      </top>
      <bottom style="medium"/>
    </border>
    <border>
      <left/>
      <right style="medium"/>
      <top style="thin">
        <color rgb="FF000000"/>
      </top>
      <bottom style="medium"/>
    </border>
    <border>
      <left style="thin"/>
      <right style="thin"/>
      <top/>
      <bottom style="thin"/>
    </border>
    <border>
      <left style="thin"/>
      <right/>
      <top style="thin"/>
      <bottom style="thin"/>
    </border>
    <border>
      <left style="thin"/>
      <right style="thin"/>
      <top style="medium"/>
      <bottom style="medium"/>
    </border>
    <border>
      <left style="thin"/>
      <right style="medium"/>
      <top style="medium"/>
      <bottom style="medium"/>
    </border>
    <border>
      <left style="medium"/>
      <right/>
      <top style="medium"/>
      <bottom/>
    </border>
    <border>
      <left style="medium"/>
      <right/>
      <top/>
      <botto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style="medium"/>
      <top style="medium"/>
      <bottom style="thin"/>
    </border>
    <border>
      <left/>
      <right style="medium"/>
      <top style="thin"/>
      <bottom/>
    </border>
    <border>
      <left/>
      <right style="medium"/>
      <top/>
      <bottom/>
    </border>
    <border>
      <left style="thin"/>
      <right/>
      <top style="thin"/>
      <bottom style="medium"/>
    </border>
    <border>
      <left style="medium"/>
      <right/>
      <top/>
      <bottom style="thin"/>
    </border>
    <border>
      <left/>
      <right style="medium"/>
      <top/>
      <bottom style="thin"/>
    </border>
    <border>
      <left/>
      <right style="thin">
        <color rgb="FF000000"/>
      </right>
      <top style="thin"/>
      <bottom/>
    </border>
    <border>
      <left style="medium"/>
      <right/>
      <top/>
      <bottom style="thin">
        <color rgb="FF000000"/>
      </bottom>
    </border>
    <border>
      <left style="thin">
        <color rgb="FF000000"/>
      </left>
      <right/>
      <top style="thin"/>
      <bottom/>
    </border>
    <border>
      <left/>
      <right/>
      <top style="thin"/>
      <bottom style="thin">
        <color rgb="FF000000"/>
      </bottom>
    </border>
    <border>
      <left/>
      <right style="thin"/>
      <top style="thin"/>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bottom style="thin">
        <color rgb="FF000000"/>
      </bottom>
    </border>
    <border>
      <left style="thin">
        <color rgb="FF000000"/>
      </left>
      <right/>
      <top style="thin">
        <color rgb="FF000000"/>
      </top>
      <bottom/>
    </border>
    <border>
      <left/>
      <right/>
      <top style="thin">
        <color rgb="FF000000"/>
      </top>
      <bottom/>
    </border>
    <border>
      <left style="medium"/>
      <right/>
      <top style="thin">
        <color rgb="FF000000"/>
      </top>
      <bottom style="thin"/>
    </border>
    <border>
      <left/>
      <right style="thin">
        <color rgb="FF000000"/>
      </right>
      <top style="thin">
        <color rgb="FF000000"/>
      </top>
      <bottom style="thin"/>
    </border>
    <border>
      <left style="medium"/>
      <right/>
      <top style="thin"/>
      <bottom style="thin">
        <color rgb="FF000000"/>
      </bottom>
    </border>
    <border>
      <left>
        <color indexed="63"/>
      </left>
      <right style="thin">
        <color rgb="FF000000"/>
      </right>
      <top style="thin"/>
      <bottom style="thin">
        <color rgb="FF000000"/>
      </bottom>
    </border>
    <border>
      <left>
        <color indexed="63"/>
      </left>
      <right style="thin">
        <color rgb="FF000000"/>
      </right>
      <top style="thin"/>
      <bottom style="thin"/>
    </border>
    <border>
      <left style="medium"/>
      <right/>
      <top style="thin">
        <color rgb="FF000000"/>
      </top>
      <bottom style="medium"/>
    </border>
    <border>
      <left>
        <color indexed="63"/>
      </left>
      <right style="thin">
        <color rgb="FF000000"/>
      </right>
      <top style="thin">
        <color rgb="FF000000"/>
      </top>
      <bottom style="medium"/>
    </border>
    <border>
      <left style="thin"/>
      <right style="thin"/>
      <top style="thin"/>
      <bottom/>
    </border>
    <border>
      <left style="thin"/>
      <right style="thin"/>
      <top/>
      <bottom/>
    </border>
    <border>
      <left style="thin"/>
      <right style="thin"/>
      <top/>
      <bottom style="thin">
        <color rgb="FF000000"/>
      </bottom>
    </border>
    <border>
      <left style="thin"/>
      <right/>
      <top/>
      <bottom style="thin">
        <color rgb="FF000000"/>
      </bottom>
    </border>
    <border>
      <left style="thin"/>
      <right/>
      <top style="thin"/>
      <bottom style="thin">
        <color rgb="FF000000"/>
      </bottom>
    </border>
    <border>
      <left/>
      <right style="hair"/>
      <top style="thin"/>
      <bottom style="thin">
        <color rgb="FF000000"/>
      </bottom>
    </border>
    <border>
      <left/>
      <right style="medium"/>
      <top style="thin"/>
      <bottom style="thin">
        <color rgb="FF000000"/>
      </bottom>
    </border>
    <border>
      <left style="thin">
        <color rgb="FF000000"/>
      </left>
      <right/>
      <top style="thin">
        <color rgb="FF000000"/>
      </top>
      <bottom style="thin">
        <color rgb="FF000000"/>
      </bottom>
    </border>
    <border>
      <left>
        <color indexed="63"/>
      </left>
      <right style="thin">
        <color rgb="FF000000"/>
      </right>
      <top style="thin">
        <color rgb="FF000000"/>
      </top>
      <bottom style="thin">
        <color rgb="FF000000"/>
      </bottom>
    </border>
    <border>
      <left style="medium"/>
      <right/>
      <top style="thin">
        <color rgb="FF000000"/>
      </top>
      <bottom/>
    </border>
    <border>
      <left/>
      <right style="thin">
        <color rgb="FF000000"/>
      </right>
      <top style="thin">
        <color rgb="FF000000"/>
      </top>
      <bottom/>
    </border>
    <border>
      <left/>
      <right style="thin">
        <color rgb="FF000000"/>
      </right>
      <top/>
      <bottom style="thin"/>
    </border>
    <border>
      <left style="thin"/>
      <right/>
      <top style="thin">
        <color rgb="FF000000"/>
      </top>
      <bottom style="thin"/>
    </border>
    <border>
      <left style="thin">
        <color rgb="FF000000"/>
      </left>
      <right/>
      <top/>
      <bottom/>
    </border>
    <border>
      <left style="thin"/>
      <right/>
      <top style="thin">
        <color rgb="FF000000"/>
      </top>
      <bottom/>
    </border>
    <border>
      <left style="thin">
        <color rgb="FF000000"/>
      </left>
      <right>
        <color indexed="63"/>
      </right>
      <top style="thin"/>
      <bottom style="thin"/>
    </border>
    <border>
      <left style="thin"/>
      <right/>
      <top style="medium"/>
      <bottom style="thin"/>
    </border>
    <border>
      <left style="thin"/>
      <right/>
      <top style="hair"/>
      <bottom style="thin"/>
    </border>
    <border>
      <left style="hair"/>
      <right style="thin"/>
      <top style="thin"/>
      <bottom style="hair"/>
    </border>
    <border>
      <left style="hair"/>
      <right style="thin"/>
      <top style="hair"/>
      <bottom style="thin"/>
    </border>
    <border>
      <left style="hair"/>
      <right style="hair"/>
      <top style="hair">
        <color theme="0" tint="-0.4999699890613556"/>
      </top>
      <bottom>
        <color indexed="63"/>
      </bottom>
    </border>
    <border>
      <left style="thin"/>
      <right/>
      <top style="hair">
        <color theme="0" tint="-0.4999699890613556"/>
      </top>
      <bottom>
        <color indexed="63"/>
      </bottom>
    </border>
    <border>
      <left/>
      <right/>
      <top style="hair">
        <color theme="0" tint="-0.4999699890613556"/>
      </top>
      <bottom>
        <color indexed="63"/>
      </bottom>
    </border>
    <border>
      <left style="hair"/>
      <right style="hair"/>
      <top style="thin"/>
      <bottom/>
    </border>
    <border>
      <left style="hair"/>
      <right style="thin"/>
      <top style="thin"/>
      <bottom>
        <color indexed="63"/>
      </bottom>
    </border>
    <border>
      <left style="hair"/>
      <right style="hair">
        <color theme="0" tint="-0.4999699890613556"/>
      </right>
      <top style="hair">
        <color theme="0" tint="-0.4999699890613556"/>
      </top>
      <bottom/>
    </border>
    <border>
      <left style="hair">
        <color theme="0" tint="-0.4999699890613556"/>
      </left>
      <right style="hair"/>
      <top style="hair">
        <color theme="0" tint="-0.4999699890613556"/>
      </top>
      <bottom/>
    </border>
    <border>
      <left/>
      <right style="hair"/>
      <top style="hair">
        <color theme="0" tint="-0.4999699890613556"/>
      </top>
      <bottom style="hair">
        <color theme="0" tint="-0.4999699890613556"/>
      </bottom>
    </border>
    <border>
      <left/>
      <right style="hair">
        <color theme="0" tint="-0.4999699890613556"/>
      </right>
      <top style="thin"/>
      <bottom/>
    </border>
    <border>
      <left style="hair">
        <color theme="0" tint="-0.4999699890613556"/>
      </left>
      <right style="hair">
        <color theme="0" tint="-0.4999699890613556"/>
      </right>
      <top style="thin"/>
      <bottom/>
    </border>
    <border>
      <left style="hair">
        <color theme="0" tint="-0.4999699890613556"/>
      </left>
      <right/>
      <top style="thin"/>
      <bottom/>
    </border>
    <border>
      <left style="hair"/>
      <right style="hair">
        <color theme="0" tint="-0.4999699890613556"/>
      </right>
      <top style="thin"/>
      <bottom/>
    </border>
    <border>
      <left style="hair">
        <color theme="0" tint="-0.4999699890613556"/>
      </left>
      <right style="hair"/>
      <top style="thin"/>
      <bottom/>
    </border>
    <border>
      <left/>
      <right style="thin"/>
      <top style="hair">
        <color theme="0" tint="-0.4999699890613556"/>
      </top>
      <bottom style="hair">
        <color theme="0" tint="-0.4999699890613556"/>
      </bottom>
    </border>
    <border>
      <left/>
      <right style="hair"/>
      <top style="hair">
        <color theme="0" tint="-0.4999699890613556"/>
      </top>
      <bottom>
        <color indexed="63"/>
      </bottom>
    </border>
    <border>
      <left style="hair"/>
      <right style="thin"/>
      <top style="hair">
        <color theme="0" tint="-0.4999699890613556"/>
      </top>
      <bottom>
        <color indexed="63"/>
      </bottom>
    </border>
    <border>
      <left style="thin"/>
      <right style="hair"/>
      <top/>
      <bottom style="thin"/>
    </border>
    <border>
      <left style="hair"/>
      <right style="hair"/>
      <top/>
      <bottom style="thin"/>
    </border>
    <border>
      <left style="thin"/>
      <right style="hair">
        <color theme="0" tint="-0.4999699890613556"/>
      </right>
      <top style="thin"/>
      <bottom/>
    </border>
    <border>
      <left style="hair"/>
      <right style="thin"/>
      <top style="thin"/>
      <bottom style="thin"/>
    </border>
    <border>
      <left style="thin"/>
      <right style="hair"/>
      <top style="hair"/>
      <bottom/>
    </border>
    <border>
      <left style="thin"/>
      <right style="hair"/>
      <top/>
      <bottom/>
    </border>
    <border>
      <left style="thin"/>
      <right style="hair">
        <color theme="0" tint="-0.4999699890613556"/>
      </right>
      <top/>
      <bottom style="thin"/>
    </border>
    <border>
      <left style="hair">
        <color theme="0" tint="-0.4999699890613556"/>
      </left>
      <right style="hair">
        <color theme="0" tint="-0.4999699890613556"/>
      </right>
      <top/>
      <bottom style="thin"/>
    </border>
    <border>
      <left style="thin"/>
      <right style="hair"/>
      <top style="thin"/>
      <bottom/>
    </border>
    <border>
      <left/>
      <right style="hair"/>
      <top/>
      <bottom style="thin">
        <color theme="0" tint="-0.4999699890613556"/>
      </bottom>
    </border>
    <border>
      <left style="hair"/>
      <right/>
      <top/>
      <bottom style="thin">
        <color theme="0" tint="-0.4999699890613556"/>
      </bottom>
    </border>
    <border>
      <left/>
      <right style="hair"/>
      <top style="thin">
        <color theme="0" tint="-0.4999699890613556"/>
      </top>
      <bottom>
        <color indexed="63"/>
      </bottom>
    </border>
    <border>
      <left style="hair"/>
      <right/>
      <top style="thin">
        <color theme="0" tint="-0.4999699890613556"/>
      </top>
      <bottom>
        <color indexed="63"/>
      </bottom>
    </border>
    <border>
      <left style="thin">
        <color theme="0" tint="-0.4999699890613556"/>
      </left>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color theme="0" tint="-0.4999699890613556"/>
      </right>
      <top style="hair">
        <color theme="0" tint="-0.4999699890613556"/>
      </top>
      <bottom style="hair">
        <color theme="0" tint="-0.4999699890613556"/>
      </bottom>
    </border>
    <border>
      <left style="thin">
        <color theme="0" tint="-0.4999699890613556"/>
      </left>
      <right style="hair"/>
      <top style="thin">
        <color theme="0" tint="-0.4999699890613556"/>
      </top>
      <bottom style="thin">
        <color theme="0" tint="-0.4999699890613556"/>
      </bottom>
    </border>
    <border>
      <left style="thin">
        <color theme="0" tint="-0.4999699890613556"/>
      </left>
      <right style="hair"/>
      <top style="hair">
        <color theme="0" tint="-0.4999699890613556"/>
      </top>
      <bottom style="thin">
        <color theme="0" tint="-0.4999699890613556"/>
      </bottom>
    </border>
    <border>
      <left style="hair"/>
      <right style="hair"/>
      <top style="hair">
        <color theme="0" tint="-0.4999699890613556"/>
      </top>
      <bottom style="thin">
        <color theme="0" tint="-0.4999699890613556"/>
      </bottom>
    </border>
    <border>
      <left style="hair"/>
      <right style="thin">
        <color theme="0" tint="-0.4999699890613556"/>
      </right>
      <top style="hair">
        <color theme="0" tint="-0.4999699890613556"/>
      </top>
      <bottom style="thin">
        <color theme="0" tint="-0.4999699890613556"/>
      </bottom>
    </border>
    <border>
      <left style="hair">
        <color theme="0" tint="-0.4999699890613556"/>
      </left>
      <right style="hair"/>
      <top style="thin">
        <color theme="0" tint="-0.4999699890613556"/>
      </top>
      <bottom style="thin">
        <color theme="0" tint="-0.4999699890613556"/>
      </bottom>
    </border>
    <border>
      <left style="hair"/>
      <right style="hair">
        <color theme="0" tint="-0.4999699890613556"/>
      </right>
      <top style="thin">
        <color theme="0" tint="-0.4999699890613556"/>
      </top>
      <bottom style="thin">
        <color theme="0" tint="-0.4999699890613556"/>
      </bottom>
    </border>
    <border>
      <left style="hair"/>
      <right/>
      <top style="thin">
        <color theme="0" tint="-0.4999699890613556"/>
      </top>
      <bottom style="thin">
        <color theme="0" tint="-0.4999699890613556"/>
      </bottom>
    </border>
    <border>
      <left style="hair">
        <color theme="0" tint="-0.4999699890613556"/>
      </left>
      <right/>
      <top style="hair">
        <color theme="0" tint="-0.4999699890613556"/>
      </top>
      <bottom style="thin">
        <color theme="0" tint="-0.4999699890613556"/>
      </bottom>
    </border>
    <border>
      <left/>
      <right/>
      <top style="hair">
        <color theme="0" tint="-0.4999699890613556"/>
      </top>
      <bottom style="thin">
        <color theme="0" tint="-0.4999699890613556"/>
      </bottom>
    </border>
    <border>
      <left/>
      <right/>
      <top style="thin">
        <color theme="0" tint="-0.4999699890613556"/>
      </top>
      <bottom style="hair">
        <color theme="0" tint="-0.4999699890613556"/>
      </bottom>
    </border>
    <border>
      <left style="thin">
        <color theme="0" tint="-0.4999699890613556"/>
      </left>
      <right style="hair"/>
      <top style="thin">
        <color theme="0" tint="-0.4999699890613556"/>
      </top>
      <bottom style="hair">
        <color theme="0" tint="-0.4999699890613556"/>
      </bottom>
    </border>
    <border>
      <left style="hair"/>
      <right style="hair"/>
      <top style="thin">
        <color theme="0" tint="-0.4999699890613556"/>
      </top>
      <bottom style="hair">
        <color theme="0" tint="-0.4999699890613556"/>
      </bottom>
    </border>
    <border>
      <left style="hair"/>
      <right style="thin">
        <color theme="0" tint="-0.4999699890613556"/>
      </right>
      <top style="thin">
        <color theme="0" tint="-0.4999699890613556"/>
      </top>
      <bottom style="hair">
        <color theme="0" tint="-0.4999699890613556"/>
      </bottom>
    </border>
    <border>
      <left style="thin">
        <color theme="0" tint="-0.4999699890613556"/>
      </left>
      <right style="hair">
        <color theme="0" tint="-0.4999699890613556"/>
      </right>
      <top style="thin">
        <color theme="0" tint="-0.4999699890613556"/>
      </top>
      <bottom style="hair"/>
    </border>
    <border>
      <left style="thin">
        <color theme="0" tint="-0.4999699890613556"/>
      </left>
      <right style="hair">
        <color theme="0" tint="-0.4999699890613556"/>
      </right>
      <top style="hair"/>
      <bottom style="hair"/>
    </border>
    <border>
      <left style="thin">
        <color theme="0" tint="-0.4999699890613556"/>
      </left>
      <right style="hair">
        <color theme="0" tint="-0.4999699890613556"/>
      </right>
      <top style="hair"/>
      <bottom style="thin">
        <color theme="0" tint="-0.4999699890613556"/>
      </bottom>
    </border>
    <border>
      <left style="thin">
        <color theme="0" tint="-0.4999699890613556"/>
      </left>
      <right/>
      <top style="thin">
        <color theme="0" tint="-0.4999699890613556"/>
      </top>
      <bottom style="hair"/>
    </border>
    <border>
      <left style="thin">
        <color theme="0" tint="-0.4999699890613556"/>
      </left>
      <right/>
      <top style="hair"/>
      <bottom style="hair"/>
    </border>
    <border>
      <left style="thin">
        <color theme="0" tint="-0.4999699890613556"/>
      </left>
      <right/>
      <top style="hair"/>
      <bottom style="thin">
        <color theme="0" tint="-0.4999699890613556"/>
      </bottom>
    </border>
    <border>
      <left style="hair">
        <color theme="0" tint="-0.4999699890613556"/>
      </left>
      <right style="hair"/>
      <top/>
      <bottom style="thin">
        <color theme="0" tint="-0.4999699890613556"/>
      </bottom>
    </border>
    <border>
      <left style="hair"/>
      <right style="hair">
        <color theme="0" tint="-0.4999699890613556"/>
      </right>
      <top/>
      <bottom style="thin">
        <color theme="0" tint="-0.4999699890613556"/>
      </bottom>
    </border>
    <border>
      <left/>
      <right/>
      <top/>
      <bottom style="thin">
        <color theme="0" tint="-0.4999699890613556"/>
      </bottom>
    </border>
    <border>
      <left style="thin">
        <color theme="0" tint="-0.4999699890613556"/>
      </left>
      <right style="hair">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style="thin">
        <color theme="0" tint="-0.4999699890613556"/>
      </bottom>
    </border>
    <border>
      <left style="medium">
        <color theme="0" tint="-0.4999699890613556"/>
      </left>
      <right style="hair">
        <color theme="0" tint="-0.4999699890613556"/>
      </right>
      <top style="medium">
        <color theme="0" tint="-0.4999699890613556"/>
      </top>
      <bottom style="medium">
        <color theme="0" tint="-0.4999699890613556"/>
      </bottom>
    </border>
    <border>
      <left style="hair">
        <color theme="0" tint="-0.4999699890613556"/>
      </left>
      <right style="hair">
        <color theme="0" tint="-0.4999699890613556"/>
      </right>
      <top style="medium">
        <color theme="0" tint="-0.4999699890613556"/>
      </top>
      <bottom style="medium">
        <color theme="0" tint="-0.4999699890613556"/>
      </bottom>
    </border>
    <border>
      <left style="hair">
        <color theme="0" tint="-0.4999699890613556"/>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hair">
        <color theme="0" tint="-0.4999699890613556"/>
      </top>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style="medium">
        <color theme="0" tint="-0.4999699890613556"/>
      </right>
      <top style="medium">
        <color theme="0" tint="-0.4999699890613556"/>
      </top>
      <bottom style="medium">
        <color theme="0" tint="-0.4999699890613556"/>
      </bottom>
    </border>
    <border diagonalDown="1">
      <left style="thin">
        <color theme="0" tint="-0.4999699890613556"/>
      </left>
      <right>
        <color indexed="63"/>
      </right>
      <top style="thin">
        <color theme="0" tint="-0.4999699890613556"/>
      </top>
      <bottom>
        <color indexed="63"/>
      </bottom>
      <diagonal style="hair">
        <color theme="0" tint="-0.4999699890613556"/>
      </diagonal>
    </border>
    <border diagonalDown="1">
      <left/>
      <right style="thin">
        <color theme="0" tint="-0.4999699890613556"/>
      </right>
      <top style="thin">
        <color theme="0" tint="-0.4999699890613556"/>
      </top>
      <bottom/>
      <diagonal style="hair">
        <color theme="0" tint="-0.4999699890613556"/>
      </diagonal>
    </border>
    <border diagonalDown="1">
      <left style="thin">
        <color theme="0" tint="-0.4999699890613556"/>
      </left>
      <right>
        <color indexed="63"/>
      </right>
      <top>
        <color indexed="63"/>
      </top>
      <bottom style="thin">
        <color theme="0" tint="-0.4999699890613556"/>
      </bottom>
      <diagonal style="hair">
        <color theme="0" tint="-0.4999699890613556"/>
      </diagonal>
    </border>
    <border diagonalDown="1">
      <left/>
      <right style="thin">
        <color theme="0" tint="-0.4999699890613556"/>
      </right>
      <top/>
      <bottom style="thin">
        <color theme="0" tint="-0.4999699890613556"/>
      </bottom>
      <diagonal style="hair">
        <color theme="0" tint="-0.4999699890613556"/>
      </diagonal>
    </border>
    <border>
      <left style="hair">
        <color theme="0" tint="-0.4999699890613556"/>
      </left>
      <right style="hair">
        <color theme="0" tint="-0.4999699890613556"/>
      </right>
      <top style="thin"/>
      <bottom style="thin"/>
    </border>
    <border>
      <left style="hair">
        <color theme="0" tint="-0.4999699890613556"/>
      </left>
      <right style="thin"/>
      <top style="thin"/>
      <bottom style="thin"/>
    </border>
    <border>
      <left style="thin"/>
      <right style="hair">
        <color theme="0" tint="-0.4999699890613556"/>
      </right>
      <top style="thin"/>
      <bottom style="thin"/>
    </border>
    <border>
      <left style="thin">
        <color theme="0" tint="-0.4999699890613556"/>
      </left>
      <right style="thin">
        <color theme="0" tint="-0.4999699890613556"/>
      </right>
      <top style="thin">
        <color theme="0" tint="-0.4999699890613556"/>
      </top>
      <bottom/>
    </border>
    <border>
      <left style="thin">
        <color theme="0" tint="-0.4999699890613556"/>
      </left>
      <right style="thin">
        <color theme="0" tint="-0.4999699890613556"/>
      </right>
      <top/>
      <bottom/>
    </border>
    <border>
      <left style="thin">
        <color theme="0" tint="-0.4999699890613556"/>
      </left>
      <right style="thin">
        <color theme="0" tint="-0.4999699890613556"/>
      </right>
      <top/>
      <bottom style="thin">
        <color theme="0" tint="-0.4999699890613556"/>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93" fillId="0" borderId="0" applyNumberFormat="0" applyFill="0" applyBorder="0" applyAlignment="0" applyProtection="0"/>
    <xf numFmtId="0" fontId="94" fillId="32" borderId="0" applyNumberFormat="0" applyBorder="0" applyAlignment="0" applyProtection="0"/>
  </cellStyleXfs>
  <cellXfs count="138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10" fillId="0" borderId="0" xfId="0" applyFont="1" applyAlignment="1">
      <alignment horizontal="center" vertical="center"/>
    </xf>
    <xf numFmtId="0" fontId="12" fillId="0" borderId="0" xfId="0" applyFont="1" applyFill="1" applyAlignment="1">
      <alignment horizontal="center" vertical="center"/>
    </xf>
    <xf numFmtId="0" fontId="13" fillId="0" borderId="0" xfId="0" applyFont="1" applyFill="1" applyBorder="1" applyAlignment="1">
      <alignment horizontal="center" vertical="center" textRotation="255"/>
    </xf>
    <xf numFmtId="181"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1" fontId="9" fillId="0" borderId="0" xfId="0" applyNumberFormat="1" applyFont="1" applyFill="1" applyBorder="1" applyAlignment="1">
      <alignment horizontal="center" vertical="center"/>
    </xf>
    <xf numFmtId="181" fontId="10" fillId="0" borderId="0" xfId="0" applyNumberFormat="1" applyFont="1" applyFill="1" applyBorder="1" applyAlignment="1">
      <alignment horizontal="center" vertical="center"/>
    </xf>
    <xf numFmtId="0" fontId="10" fillId="0" borderId="0" xfId="0" applyFont="1" applyFill="1" applyAlignment="1">
      <alignment horizontal="center" vertical="center"/>
    </xf>
    <xf numFmtId="0" fontId="6" fillId="0" borderId="0" xfId="0" applyFont="1" applyBorder="1" applyAlignment="1">
      <alignment horizontal="distributed" vertical="center"/>
    </xf>
    <xf numFmtId="0" fontId="3" fillId="0" borderId="0" xfId="0" applyFont="1" applyBorder="1" applyAlignment="1">
      <alignment/>
    </xf>
    <xf numFmtId="0" fontId="3" fillId="0" borderId="0" xfId="0" applyFont="1" applyBorder="1" applyAlignment="1">
      <alignment horizontal="center"/>
    </xf>
    <xf numFmtId="38" fontId="18" fillId="0" borderId="0" xfId="49" applyFont="1" applyFill="1" applyAlignment="1">
      <alignment/>
    </xf>
    <xf numFmtId="38" fontId="18" fillId="0" borderId="0" xfId="49" applyFont="1" applyFill="1" applyAlignment="1">
      <alignment horizontal="right"/>
    </xf>
    <xf numFmtId="0" fontId="12" fillId="0" borderId="0" xfId="0" applyFont="1" applyFill="1" applyBorder="1" applyAlignment="1">
      <alignment vertical="center"/>
    </xf>
    <xf numFmtId="0" fontId="1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3" fillId="0" borderId="12" xfId="0" applyFont="1" applyBorder="1" applyAlignment="1">
      <alignment/>
    </xf>
    <xf numFmtId="0" fontId="3" fillId="0" borderId="11" xfId="0" applyFont="1" applyBorder="1" applyAlignment="1">
      <alignment/>
    </xf>
    <xf numFmtId="0" fontId="3" fillId="0" borderId="13" xfId="0" applyFont="1" applyBorder="1" applyAlignment="1">
      <alignment/>
    </xf>
    <xf numFmtId="0" fontId="0" fillId="0" borderId="0" xfId="0" applyAlignment="1">
      <alignment vertical="center"/>
    </xf>
    <xf numFmtId="38" fontId="17" fillId="0" borderId="0" xfId="49" applyFont="1" applyFill="1" applyAlignment="1">
      <alignment/>
    </xf>
    <xf numFmtId="183" fontId="10" fillId="0" borderId="0" xfId="0" applyNumberFormat="1" applyFont="1" applyFill="1" applyBorder="1" applyAlignment="1">
      <alignment horizontal="center" vertical="center"/>
    </xf>
    <xf numFmtId="183" fontId="13" fillId="0" borderId="0" xfId="49" applyNumberFormat="1" applyFont="1" applyFill="1" applyBorder="1" applyAlignment="1">
      <alignment horizontal="center" vertical="center"/>
    </xf>
    <xf numFmtId="181" fontId="10" fillId="0" borderId="0" xfId="49" applyNumberFormat="1" applyFont="1" applyFill="1" applyBorder="1" applyAlignment="1">
      <alignment horizontal="center" vertical="center"/>
    </xf>
    <xf numFmtId="38" fontId="10" fillId="0" borderId="0" xfId="0" applyNumberFormat="1" applyFont="1" applyFill="1" applyBorder="1" applyAlignment="1">
      <alignment horizontal="center" vertical="center"/>
    </xf>
    <xf numFmtId="0" fontId="5" fillId="0" borderId="0" xfId="0" applyFont="1" applyFill="1" applyAlignment="1">
      <alignment/>
    </xf>
    <xf numFmtId="0" fontId="10" fillId="0" borderId="0" xfId="0" applyFont="1" applyAlignment="1">
      <alignment horizontal="center" vertical="center" shrinkToFit="1"/>
    </xf>
    <xf numFmtId="181" fontId="10" fillId="0" borderId="0" xfId="49" applyNumberFormat="1" applyFont="1" applyFill="1" applyBorder="1" applyAlignment="1">
      <alignment horizontal="center" vertical="center" shrinkToFit="1"/>
    </xf>
    <xf numFmtId="183" fontId="10" fillId="0" borderId="0" xfId="0" applyNumberFormat="1" applyFont="1" applyFill="1" applyBorder="1" applyAlignment="1">
      <alignment horizontal="center" vertical="center" shrinkToFit="1"/>
    </xf>
    <xf numFmtId="0" fontId="10" fillId="0" borderId="0" xfId="0" applyFont="1" applyFill="1" applyAlignment="1">
      <alignment horizontal="center" vertical="center" shrinkToFit="1"/>
    </xf>
    <xf numFmtId="41" fontId="5" fillId="0" borderId="0" xfId="49" applyNumberFormat="1" applyFont="1" applyFill="1" applyBorder="1" applyAlignment="1">
      <alignment horizontal="right"/>
    </xf>
    <xf numFmtId="38" fontId="32" fillId="0" borderId="0" xfId="49" applyFont="1" applyFill="1" applyAlignment="1">
      <alignment/>
    </xf>
    <xf numFmtId="0" fontId="33" fillId="0" borderId="0" xfId="0" applyFont="1" applyFill="1" applyAlignment="1">
      <alignment/>
    </xf>
    <xf numFmtId="38" fontId="3" fillId="0" borderId="0" xfId="49" applyFont="1" applyFill="1" applyAlignment="1">
      <alignment/>
    </xf>
    <xf numFmtId="38" fontId="30" fillId="0" borderId="0" xfId="49" applyFont="1" applyFill="1" applyAlignment="1">
      <alignment/>
    </xf>
    <xf numFmtId="38" fontId="30" fillId="0" borderId="0" xfId="49" applyFont="1" applyFill="1" applyBorder="1" applyAlignment="1">
      <alignment/>
    </xf>
    <xf numFmtId="38" fontId="3" fillId="0" borderId="14" xfId="49" applyFont="1" applyFill="1" applyBorder="1" applyAlignment="1">
      <alignment/>
    </xf>
    <xf numFmtId="38" fontId="3" fillId="0" borderId="15" xfId="49" applyFont="1" applyFill="1" applyBorder="1" applyAlignment="1">
      <alignment/>
    </xf>
    <xf numFmtId="38" fontId="3" fillId="0" borderId="16" xfId="49" applyFont="1" applyFill="1" applyBorder="1" applyAlignment="1">
      <alignment horizontal="right"/>
    </xf>
    <xf numFmtId="38" fontId="32" fillId="0" borderId="17" xfId="49" applyFont="1" applyFill="1" applyBorder="1" applyAlignment="1">
      <alignment/>
    </xf>
    <xf numFmtId="38" fontId="32" fillId="0" borderId="0" xfId="49" applyFont="1" applyFill="1" applyBorder="1" applyAlignment="1">
      <alignment/>
    </xf>
    <xf numFmtId="38" fontId="32" fillId="0" borderId="10" xfId="49" applyFont="1" applyFill="1" applyBorder="1" applyAlignment="1">
      <alignment horizontal="right"/>
    </xf>
    <xf numFmtId="38" fontId="32" fillId="0" borderId="12" xfId="49" applyFont="1" applyFill="1" applyBorder="1" applyAlignment="1">
      <alignment/>
    </xf>
    <xf numFmtId="38" fontId="32" fillId="0" borderId="11" xfId="49" applyFont="1" applyFill="1" applyBorder="1" applyAlignment="1">
      <alignment/>
    </xf>
    <xf numFmtId="38" fontId="32" fillId="0" borderId="13" xfId="49" applyFont="1" applyFill="1" applyBorder="1" applyAlignment="1">
      <alignment horizontal="right"/>
    </xf>
    <xf numFmtId="0" fontId="5" fillId="0" borderId="0" xfId="0" applyFont="1" applyFill="1" applyAlignment="1">
      <alignment horizontal="center"/>
    </xf>
    <xf numFmtId="38" fontId="3" fillId="0" borderId="0" xfId="49" applyFont="1" applyFill="1" applyAlignment="1">
      <alignment vertical="center"/>
    </xf>
    <xf numFmtId="38" fontId="18" fillId="0" borderId="0" xfId="49" applyFont="1" applyFill="1" applyAlignment="1">
      <alignment vertical="center"/>
    </xf>
    <xf numFmtId="38" fontId="3" fillId="0" borderId="0" xfId="49" applyFont="1" applyFill="1" applyBorder="1" applyAlignment="1">
      <alignment horizontal="distributed"/>
    </xf>
    <xf numFmtId="0" fontId="33" fillId="0" borderId="0" xfId="0" applyFont="1" applyFill="1" applyBorder="1" applyAlignment="1">
      <alignment horizontal="center"/>
    </xf>
    <xf numFmtId="0" fontId="5" fillId="0" borderId="0" xfId="0" applyFont="1" applyFill="1" applyBorder="1" applyAlignment="1">
      <alignment horizontal="center"/>
    </xf>
    <xf numFmtId="38" fontId="3" fillId="0" borderId="0" xfId="49" applyFont="1" applyFill="1" applyAlignment="1">
      <alignment horizontal="center"/>
    </xf>
    <xf numFmtId="38" fontId="3" fillId="0" borderId="0" xfId="49" applyFont="1" applyFill="1" applyBorder="1" applyAlignment="1">
      <alignment horizontal="right"/>
    </xf>
    <xf numFmtId="38" fontId="32" fillId="0" borderId="18" xfId="49" applyFont="1" applyFill="1" applyBorder="1" applyAlignment="1">
      <alignment/>
    </xf>
    <xf numFmtId="0" fontId="32" fillId="0" borderId="19" xfId="0" applyFont="1" applyFill="1" applyBorder="1" applyAlignment="1">
      <alignment horizontal="right"/>
    </xf>
    <xf numFmtId="38" fontId="32" fillId="0" borderId="20" xfId="49" applyFont="1" applyFill="1" applyBorder="1" applyAlignment="1">
      <alignment horizontal="right"/>
    </xf>
    <xf numFmtId="38" fontId="3" fillId="0" borderId="21" xfId="49" applyFont="1" applyFill="1" applyBorder="1" applyAlignment="1">
      <alignment/>
    </xf>
    <xf numFmtId="38" fontId="3" fillId="0" borderId="18" xfId="49" applyFont="1" applyFill="1" applyBorder="1" applyAlignment="1">
      <alignment/>
    </xf>
    <xf numFmtId="38" fontId="3" fillId="0" borderId="0" xfId="49" applyFont="1" applyFill="1" applyBorder="1" applyAlignment="1">
      <alignment/>
    </xf>
    <xf numFmtId="38" fontId="32" fillId="0" borderId="22" xfId="49" applyFont="1" applyFill="1" applyBorder="1" applyAlignment="1">
      <alignment horizontal="right"/>
    </xf>
    <xf numFmtId="0" fontId="32" fillId="0" borderId="23" xfId="0" applyFont="1" applyFill="1" applyBorder="1" applyAlignment="1">
      <alignment horizontal="right"/>
    </xf>
    <xf numFmtId="0" fontId="32" fillId="0" borderId="24" xfId="0" applyFont="1" applyFill="1" applyBorder="1" applyAlignment="1">
      <alignment horizontal="right"/>
    </xf>
    <xf numFmtId="0" fontId="32" fillId="0" borderId="25" xfId="0" applyFont="1" applyFill="1" applyBorder="1" applyAlignment="1">
      <alignment horizontal="right"/>
    </xf>
    <xf numFmtId="38" fontId="32" fillId="0" borderId="20" xfId="49" applyFont="1" applyFill="1" applyBorder="1" applyAlignment="1">
      <alignment horizontal="right" vertical="center"/>
    </xf>
    <xf numFmtId="0" fontId="32" fillId="0" borderId="25" xfId="0" applyFont="1" applyFill="1" applyBorder="1" applyAlignment="1">
      <alignment horizontal="right" vertical="center"/>
    </xf>
    <xf numFmtId="0" fontId="32" fillId="0" borderId="26" xfId="0" applyFont="1" applyFill="1" applyBorder="1" applyAlignment="1">
      <alignment horizontal="right"/>
    </xf>
    <xf numFmtId="38" fontId="3" fillId="0" borderId="27" xfId="49" applyFont="1" applyFill="1" applyBorder="1" applyAlignment="1">
      <alignment/>
    </xf>
    <xf numFmtId="0" fontId="32" fillId="0" borderId="28" xfId="49" applyNumberFormat="1" applyFont="1" applyFill="1" applyBorder="1" applyAlignment="1">
      <alignment horizontal="right"/>
    </xf>
    <xf numFmtId="0" fontId="32" fillId="0" borderId="29" xfId="49" applyNumberFormat="1" applyFont="1" applyFill="1" applyBorder="1" applyAlignment="1">
      <alignment horizontal="right"/>
    </xf>
    <xf numFmtId="0" fontId="32" fillId="0" borderId="22" xfId="49" applyNumberFormat="1" applyFont="1" applyFill="1" applyBorder="1" applyAlignment="1">
      <alignment horizontal="right"/>
    </xf>
    <xf numFmtId="38" fontId="31" fillId="0" borderId="0" xfId="49" applyFont="1" applyAlignment="1">
      <alignment vertical="center"/>
    </xf>
    <xf numFmtId="0" fontId="31" fillId="0" borderId="0" xfId="0" applyFont="1" applyAlignment="1">
      <alignment vertical="center"/>
    </xf>
    <xf numFmtId="0" fontId="32" fillId="0" borderId="0" xfId="0" applyFont="1" applyAlignment="1">
      <alignment vertical="center"/>
    </xf>
    <xf numFmtId="38" fontId="32" fillId="0" borderId="0" xfId="49" applyFont="1" applyAlignment="1">
      <alignment vertical="center"/>
    </xf>
    <xf numFmtId="0" fontId="33" fillId="0" borderId="0" xfId="0" applyFont="1" applyAlignment="1">
      <alignment vertical="center"/>
    </xf>
    <xf numFmtId="0" fontId="32" fillId="0" borderId="30" xfId="0" applyFont="1" applyBorder="1" applyAlignment="1">
      <alignment horizontal="center" vertical="center"/>
    </xf>
    <xf numFmtId="38" fontId="32" fillId="0" borderId="30" xfId="49" applyFont="1" applyBorder="1" applyAlignment="1">
      <alignment horizontal="center" vertical="center"/>
    </xf>
    <xf numFmtId="0" fontId="32" fillId="0" borderId="30" xfId="0" applyFont="1" applyBorder="1" applyAlignment="1">
      <alignment horizontal="distributed" vertical="center"/>
    </xf>
    <xf numFmtId="38" fontId="32" fillId="0" borderId="30" xfId="49" applyFont="1" applyBorder="1" applyAlignment="1">
      <alignment vertical="center"/>
    </xf>
    <xf numFmtId="38" fontId="32" fillId="0" borderId="30" xfId="49" applyFont="1" applyBorder="1" applyAlignment="1">
      <alignment horizontal="right" vertical="center"/>
    </xf>
    <xf numFmtId="179" fontId="32" fillId="0" borderId="30" xfId="49" applyNumberFormat="1" applyFont="1" applyBorder="1" applyAlignment="1">
      <alignment horizontal="right" vertical="center"/>
    </xf>
    <xf numFmtId="180" fontId="32" fillId="0" borderId="30" xfId="49" applyNumberFormat="1" applyFont="1" applyBorder="1" applyAlignment="1">
      <alignment horizontal="right" vertical="center"/>
    </xf>
    <xf numFmtId="0" fontId="32" fillId="0" borderId="30" xfId="0" applyFont="1" applyBorder="1" applyAlignment="1">
      <alignment horizontal="center" vertical="center" shrinkToFit="1"/>
    </xf>
    <xf numFmtId="38" fontId="32" fillId="0" borderId="30" xfId="49" applyFont="1" applyBorder="1" applyAlignment="1">
      <alignment horizontal="center" vertical="center" wrapText="1"/>
    </xf>
    <xf numFmtId="38" fontId="32" fillId="0" borderId="30" xfId="49" applyFont="1" applyBorder="1" applyAlignment="1">
      <alignment vertical="center" wrapText="1"/>
    </xf>
    <xf numFmtId="180" fontId="32" fillId="0" borderId="30" xfId="49" applyNumberFormat="1" applyFont="1" applyBorder="1" applyAlignment="1">
      <alignment vertical="center"/>
    </xf>
    <xf numFmtId="40" fontId="32" fillId="0" borderId="30" xfId="49" applyNumberFormat="1" applyFont="1" applyBorder="1" applyAlignment="1">
      <alignment vertical="center"/>
    </xf>
    <xf numFmtId="178" fontId="32" fillId="0" borderId="30" xfId="49" applyNumberFormat="1" applyFont="1" applyBorder="1" applyAlignment="1">
      <alignment horizontal="right" vertical="center"/>
    </xf>
    <xf numFmtId="38" fontId="32" fillId="0" borderId="30" xfId="49" applyFont="1" applyBorder="1" applyAlignment="1">
      <alignment horizontal="right" vertical="center" wrapText="1"/>
    </xf>
    <xf numFmtId="38" fontId="32" fillId="0" borderId="30" xfId="49" applyNumberFormat="1" applyFont="1" applyBorder="1" applyAlignment="1">
      <alignment horizontal="right" vertical="center"/>
    </xf>
    <xf numFmtId="0" fontId="32" fillId="0" borderId="30" xfId="0" applyFont="1" applyBorder="1" applyAlignment="1">
      <alignment vertical="center"/>
    </xf>
    <xf numFmtId="38" fontId="95" fillId="0" borderId="30" xfId="49" applyFont="1" applyBorder="1" applyAlignment="1">
      <alignment vertical="center"/>
    </xf>
    <xf numFmtId="0" fontId="34" fillId="0" borderId="30" xfId="0" applyFont="1" applyBorder="1" applyAlignment="1">
      <alignment horizontal="center" vertical="center" wrapText="1"/>
    </xf>
    <xf numFmtId="0" fontId="31" fillId="0" borderId="30" xfId="0" applyFont="1" applyBorder="1" applyAlignment="1">
      <alignment horizontal="center" vertical="center"/>
    </xf>
    <xf numFmtId="0" fontId="37" fillId="0" borderId="30" xfId="0" applyFont="1" applyBorder="1" applyAlignment="1">
      <alignment horizontal="center" vertical="center"/>
    </xf>
    <xf numFmtId="38" fontId="31" fillId="0" borderId="30" xfId="49" applyFont="1" applyBorder="1" applyAlignment="1">
      <alignment horizontal="center" vertical="center"/>
    </xf>
    <xf numFmtId="0" fontId="31" fillId="0" borderId="30" xfId="0" applyFont="1" applyBorder="1" applyAlignment="1">
      <alignment horizontal="distributed" vertical="center"/>
    </xf>
    <xf numFmtId="38" fontId="31" fillId="0" borderId="30" xfId="49" applyFont="1" applyBorder="1" applyAlignment="1">
      <alignment vertical="center"/>
    </xf>
    <xf numFmtId="0" fontId="31" fillId="0" borderId="30" xfId="0" applyFont="1" applyBorder="1" applyAlignment="1">
      <alignment vertical="center" shrinkToFit="1"/>
    </xf>
    <xf numFmtId="38" fontId="32" fillId="0" borderId="30" xfId="49" applyFont="1" applyBorder="1" applyAlignment="1">
      <alignment vertical="center" shrinkToFit="1"/>
    </xf>
    <xf numFmtId="0" fontId="31" fillId="0" borderId="30" xfId="0" applyFont="1" applyBorder="1" applyAlignment="1">
      <alignment vertical="center"/>
    </xf>
    <xf numFmtId="38" fontId="32" fillId="0" borderId="30" xfId="49" applyFont="1" applyFill="1" applyBorder="1" applyAlignment="1">
      <alignment vertical="center"/>
    </xf>
    <xf numFmtId="0" fontId="32" fillId="0" borderId="30" xfId="0" applyFont="1" applyBorder="1" applyAlignment="1">
      <alignment horizontal="center" vertical="center" wrapText="1"/>
    </xf>
    <xf numFmtId="38" fontId="33" fillId="0" borderId="30" xfId="49" applyFont="1" applyBorder="1" applyAlignment="1">
      <alignment horizontal="center" vertical="center" wrapText="1"/>
    </xf>
    <xf numFmtId="0" fontId="32" fillId="0" borderId="30" xfId="0" applyFont="1" applyFill="1" applyBorder="1" applyAlignment="1">
      <alignment horizontal="center" vertical="center"/>
    </xf>
    <xf numFmtId="38" fontId="31" fillId="0" borderId="30" xfId="49" applyFont="1" applyBorder="1" applyAlignment="1">
      <alignment vertical="center" shrinkToFit="1"/>
    </xf>
    <xf numFmtId="180" fontId="32" fillId="0" borderId="30" xfId="49" applyNumberFormat="1" applyFont="1" applyFill="1" applyBorder="1" applyAlignment="1">
      <alignment vertical="center"/>
    </xf>
    <xf numFmtId="38" fontId="31" fillId="0" borderId="30" xfId="49" applyFont="1" applyFill="1" applyBorder="1" applyAlignment="1">
      <alignment vertical="center"/>
    </xf>
    <xf numFmtId="3" fontId="31" fillId="0" borderId="30" xfId="49" applyNumberFormat="1" applyFont="1" applyBorder="1" applyAlignment="1">
      <alignment vertical="center"/>
    </xf>
    <xf numFmtId="0" fontId="5" fillId="0" borderId="31" xfId="0" applyFont="1" applyFill="1" applyBorder="1" applyAlignment="1">
      <alignment horizontal="distributed" vertical="center"/>
    </xf>
    <xf numFmtId="0" fontId="5" fillId="0" borderId="31" xfId="0" applyFont="1" applyFill="1" applyBorder="1" applyAlignment="1">
      <alignment horizontal="distributed" vertical="center"/>
    </xf>
    <xf numFmtId="0" fontId="6" fillId="0" borderId="31" xfId="0" applyFont="1" applyFill="1" applyBorder="1" applyAlignment="1">
      <alignment horizontal="distributed" vertical="center"/>
    </xf>
    <xf numFmtId="0" fontId="5" fillId="0" borderId="32" xfId="0" applyFont="1" applyFill="1" applyBorder="1" applyAlignment="1">
      <alignment horizontal="center" vertical="center"/>
    </xf>
    <xf numFmtId="0" fontId="5" fillId="0" borderId="33" xfId="0" applyFont="1" applyFill="1" applyBorder="1" applyAlignment="1">
      <alignment horizontal="distributed" vertical="center"/>
    </xf>
    <xf numFmtId="38" fontId="35" fillId="0" borderId="0" xfId="49" applyFont="1" applyFill="1" applyBorder="1" applyAlignment="1">
      <alignment horizontal="left"/>
    </xf>
    <xf numFmtId="0" fontId="36" fillId="0" borderId="0" xfId="0" applyFont="1" applyFill="1" applyAlignment="1">
      <alignment horizontal="left"/>
    </xf>
    <xf numFmtId="0" fontId="3" fillId="0" borderId="0" xfId="0" applyFont="1" applyFill="1" applyBorder="1" applyAlignment="1">
      <alignment horizontal="distributed"/>
    </xf>
    <xf numFmtId="38" fontId="18" fillId="0" borderId="0" xfId="49" applyFont="1" applyFill="1" applyBorder="1" applyAlignment="1">
      <alignment/>
    </xf>
    <xf numFmtId="38" fontId="38" fillId="0" borderId="0" xfId="49" applyFont="1" applyFill="1" applyBorder="1" applyAlignment="1">
      <alignment horizontal="left"/>
    </xf>
    <xf numFmtId="38" fontId="38" fillId="0" borderId="11" xfId="49" applyFont="1" applyFill="1" applyBorder="1" applyAlignment="1">
      <alignment horizontal="left"/>
    </xf>
    <xf numFmtId="0" fontId="15" fillId="0" borderId="0" xfId="0" applyFont="1" applyFill="1" applyAlignment="1">
      <alignment/>
    </xf>
    <xf numFmtId="0" fontId="15" fillId="0" borderId="0" xfId="0" applyFont="1" applyFill="1" applyAlignment="1">
      <alignment vertical="center"/>
    </xf>
    <xf numFmtId="0" fontId="96" fillId="0" borderId="0" xfId="0" applyFont="1" applyFill="1" applyBorder="1" applyAlignment="1">
      <alignment horizontal="left" vertical="center" indent="1"/>
    </xf>
    <xf numFmtId="0" fontId="97" fillId="0" borderId="0" xfId="0" applyFont="1" applyFill="1" applyBorder="1" applyAlignment="1">
      <alignment horizontal="left" indent="1"/>
    </xf>
    <xf numFmtId="0" fontId="15" fillId="0" borderId="0" xfId="0" applyFont="1" applyFill="1" applyBorder="1" applyAlignment="1">
      <alignment horizontal="left" vertical="center" indent="1"/>
    </xf>
    <xf numFmtId="38" fontId="15" fillId="0" borderId="0" xfId="49" applyFont="1" applyFill="1" applyAlignment="1">
      <alignment/>
    </xf>
    <xf numFmtId="0" fontId="39" fillId="0" borderId="0" xfId="0" applyFont="1" applyFill="1" applyAlignment="1">
      <alignment horizontal="center" vertical="center" shrinkToFit="1"/>
    </xf>
    <xf numFmtId="0" fontId="0" fillId="0" borderId="0" xfId="0" applyFont="1" applyFill="1" applyBorder="1" applyAlignment="1">
      <alignment horizontal="center" vertical="center" textRotation="255"/>
    </xf>
    <xf numFmtId="0" fontId="10"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vertical="center"/>
    </xf>
    <xf numFmtId="190" fontId="32" fillId="0" borderId="37" xfId="0" applyNumberFormat="1" applyFont="1" applyBorder="1" applyAlignment="1">
      <alignment vertical="center"/>
    </xf>
    <xf numFmtId="0" fontId="0" fillId="0" borderId="38" xfId="0" applyFont="1" applyBorder="1" applyAlignment="1">
      <alignment vertical="center"/>
    </xf>
    <xf numFmtId="0" fontId="0" fillId="0" borderId="39" xfId="0" applyFont="1" applyFill="1" applyBorder="1" applyAlignment="1">
      <alignment vertical="center"/>
    </xf>
    <xf numFmtId="190" fontId="32" fillId="0" borderId="40" xfId="0" applyNumberFormat="1" applyFont="1" applyFill="1" applyBorder="1" applyAlignment="1">
      <alignment vertical="center"/>
    </xf>
    <xf numFmtId="0" fontId="0" fillId="0" borderId="41" xfId="0" applyFont="1" applyFill="1" applyBorder="1" applyAlignment="1">
      <alignment vertical="center"/>
    </xf>
    <xf numFmtId="190" fontId="32" fillId="28" borderId="40" xfId="0" applyNumberFormat="1" applyFont="1" applyFill="1" applyBorder="1" applyAlignment="1">
      <alignment vertical="center"/>
    </xf>
    <xf numFmtId="0" fontId="0" fillId="0" borderId="39" xfId="0" applyFont="1" applyBorder="1" applyAlignment="1">
      <alignment vertical="center"/>
    </xf>
    <xf numFmtId="190" fontId="32" fillId="0" borderId="40" xfId="0" applyNumberFormat="1"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190" fontId="32" fillId="0" borderId="43" xfId="0" applyNumberFormat="1" applyFont="1" applyBorder="1" applyAlignment="1">
      <alignment vertical="center"/>
    </xf>
    <xf numFmtId="0" fontId="0" fillId="0" borderId="44" xfId="0" applyFont="1" applyBorder="1" applyAlignment="1">
      <alignment vertical="center"/>
    </xf>
    <xf numFmtId="190" fontId="32" fillId="0" borderId="0" xfId="0" applyNumberFormat="1" applyFont="1" applyBorder="1" applyAlignment="1">
      <alignment vertical="center"/>
    </xf>
    <xf numFmtId="0" fontId="0" fillId="0" borderId="0" xfId="0" applyFont="1" applyBorder="1" applyAlignment="1">
      <alignment vertical="center"/>
    </xf>
    <xf numFmtId="190" fontId="32" fillId="0" borderId="37" xfId="0" applyNumberFormat="1" applyFont="1" applyFill="1" applyBorder="1" applyAlignment="1">
      <alignment vertical="center"/>
    </xf>
    <xf numFmtId="0" fontId="0" fillId="0" borderId="38" xfId="0" applyFont="1" applyBorder="1" applyAlignment="1">
      <alignment horizontal="left" vertical="center" wrapText="1"/>
    </xf>
    <xf numFmtId="0" fontId="0" fillId="0" borderId="41" xfId="0" applyFont="1" applyBorder="1" applyAlignment="1">
      <alignment horizontal="left" vertical="center" wrapText="1"/>
    </xf>
    <xf numFmtId="0" fontId="0" fillId="0" borderId="45" xfId="0" applyFont="1" applyBorder="1" applyAlignment="1">
      <alignment vertical="center"/>
    </xf>
    <xf numFmtId="190" fontId="32" fillId="0" borderId="46" xfId="0" applyNumberFormat="1" applyFont="1" applyFill="1" applyBorder="1" applyAlignment="1">
      <alignment vertical="center"/>
    </xf>
    <xf numFmtId="190" fontId="32" fillId="0" borderId="0" xfId="0" applyNumberFormat="1" applyFont="1" applyFill="1" applyBorder="1" applyAlignment="1">
      <alignment vertical="center"/>
    </xf>
    <xf numFmtId="0" fontId="0" fillId="0" borderId="0" xfId="0" applyFont="1" applyBorder="1" applyAlignment="1">
      <alignment horizontal="left" vertical="center" wrapText="1"/>
    </xf>
    <xf numFmtId="0" fontId="32" fillId="0" borderId="0" xfId="0" applyFont="1" applyFill="1" applyBorder="1" applyAlignment="1">
      <alignment vertical="center"/>
    </xf>
    <xf numFmtId="0" fontId="0" fillId="0" borderId="0" xfId="0" applyFont="1" applyFill="1" applyBorder="1" applyAlignment="1">
      <alignment vertical="center"/>
    </xf>
    <xf numFmtId="0" fontId="0" fillId="0" borderId="47" xfId="0" applyFont="1" applyBorder="1" applyAlignment="1">
      <alignment vertical="center"/>
    </xf>
    <xf numFmtId="0" fontId="32" fillId="0" borderId="38" xfId="0" applyFont="1" applyBorder="1" applyAlignment="1">
      <alignment vertical="center"/>
    </xf>
    <xf numFmtId="0" fontId="0" fillId="0" borderId="48" xfId="0" applyFont="1" applyBorder="1" applyAlignment="1">
      <alignment vertical="center"/>
    </xf>
    <xf numFmtId="0" fontId="32" fillId="0" borderId="41" xfId="0" applyFont="1" applyBorder="1" applyAlignment="1">
      <alignment vertical="center"/>
    </xf>
    <xf numFmtId="0" fontId="0" fillId="0" borderId="49" xfId="0" applyFont="1" applyBorder="1" applyAlignment="1">
      <alignment vertical="center"/>
    </xf>
    <xf numFmtId="0" fontId="32" fillId="0" borderId="42" xfId="0" applyFont="1" applyBorder="1" applyAlignment="1">
      <alignment vertical="center"/>
    </xf>
    <xf numFmtId="0" fontId="0" fillId="0" borderId="50" xfId="0" applyFont="1" applyBorder="1" applyAlignment="1">
      <alignment vertical="center"/>
    </xf>
    <xf numFmtId="190" fontId="32" fillId="0" borderId="51" xfId="0" applyNumberFormat="1" applyFont="1" applyFill="1" applyBorder="1" applyAlignment="1">
      <alignment vertical="center"/>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190" fontId="33" fillId="0" borderId="40" xfId="0" applyNumberFormat="1" applyFont="1" applyFill="1" applyBorder="1" applyAlignment="1">
      <alignment vertical="center"/>
    </xf>
    <xf numFmtId="193" fontId="33" fillId="0" borderId="40" xfId="0" applyNumberFormat="1" applyFont="1" applyFill="1" applyBorder="1" applyAlignment="1">
      <alignment vertical="center"/>
    </xf>
    <xf numFmtId="193" fontId="33" fillId="0" borderId="46" xfId="0" applyNumberFormat="1" applyFont="1" applyFill="1" applyBorder="1" applyAlignment="1">
      <alignment vertical="center"/>
    </xf>
    <xf numFmtId="0" fontId="0" fillId="0" borderId="55"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190" fontId="33" fillId="0" borderId="35" xfId="0" applyNumberFormat="1" applyFont="1" applyFill="1" applyBorder="1" applyAlignment="1">
      <alignment vertical="center"/>
    </xf>
    <xf numFmtId="190" fontId="33" fillId="0" borderId="37" xfId="0" applyNumberFormat="1" applyFont="1" applyBorder="1" applyAlignment="1">
      <alignment vertical="center"/>
    </xf>
    <xf numFmtId="190" fontId="33" fillId="28" borderId="40" xfId="0" applyNumberFormat="1" applyFont="1" applyFill="1" applyBorder="1" applyAlignment="1">
      <alignment vertical="center"/>
    </xf>
    <xf numFmtId="190" fontId="33" fillId="0" borderId="40" xfId="0" applyNumberFormat="1" applyFont="1" applyBorder="1" applyAlignment="1">
      <alignment vertical="center"/>
    </xf>
    <xf numFmtId="190" fontId="33" fillId="0" borderId="51" xfId="0" applyNumberFormat="1" applyFont="1" applyFill="1" applyBorder="1" applyAlignment="1">
      <alignment vertical="center"/>
    </xf>
    <xf numFmtId="190" fontId="33" fillId="0" borderId="43" xfId="0" applyNumberFormat="1" applyFont="1" applyBorder="1" applyAlignment="1">
      <alignment vertical="center"/>
    </xf>
    <xf numFmtId="190" fontId="33" fillId="0" borderId="37" xfId="0" applyNumberFormat="1" applyFont="1" applyFill="1" applyBorder="1" applyAlignment="1">
      <alignment vertical="center"/>
    </xf>
    <xf numFmtId="190" fontId="33" fillId="0" borderId="0" xfId="0" applyNumberFormat="1" applyFont="1" applyAlignment="1">
      <alignment vertical="center"/>
    </xf>
    <xf numFmtId="181" fontId="33" fillId="0" borderId="42" xfId="0" applyNumberFormat="1" applyFont="1" applyFill="1" applyBorder="1" applyAlignment="1">
      <alignment horizontal="center" vertical="center" shrinkToFit="1"/>
    </xf>
    <xf numFmtId="181" fontId="33" fillId="0" borderId="57" xfId="0" applyNumberFormat="1" applyFont="1" applyFill="1" applyBorder="1" applyAlignment="1">
      <alignment horizontal="center" vertical="center" shrinkToFit="1"/>
    </xf>
    <xf numFmtId="181" fontId="33" fillId="0" borderId="35" xfId="0" applyNumberFormat="1" applyFont="1" applyFill="1" applyBorder="1" applyAlignment="1">
      <alignment horizontal="center" vertical="center" shrinkToFit="1"/>
    </xf>
    <xf numFmtId="181" fontId="33" fillId="0" borderId="58" xfId="0" applyNumberFormat="1" applyFont="1" applyFill="1" applyBorder="1" applyAlignment="1">
      <alignment horizontal="center" vertical="center" shrinkToFit="1"/>
    </xf>
    <xf numFmtId="181" fontId="33" fillId="0" borderId="59" xfId="0" applyNumberFormat="1" applyFont="1" applyFill="1" applyBorder="1" applyAlignment="1">
      <alignment horizontal="center" vertical="center" shrinkToFit="1"/>
    </xf>
    <xf numFmtId="181" fontId="33" fillId="0" borderId="45"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Alignment="1">
      <alignment vertical="center" shrinkToFit="1"/>
    </xf>
    <xf numFmtId="190" fontId="33" fillId="0" borderId="37" xfId="0" applyNumberFormat="1" applyFont="1" applyBorder="1" applyAlignment="1">
      <alignment vertical="center" shrinkToFit="1"/>
    </xf>
    <xf numFmtId="190" fontId="33" fillId="0" borderId="40" xfId="0" applyNumberFormat="1" applyFont="1" applyFill="1" applyBorder="1" applyAlignment="1">
      <alignment vertical="center" shrinkToFit="1"/>
    </xf>
    <xf numFmtId="0" fontId="0" fillId="0" borderId="34" xfId="0" applyFont="1" applyFill="1" applyBorder="1" applyAlignment="1">
      <alignment horizontal="center" vertical="center" shrinkToFit="1"/>
    </xf>
    <xf numFmtId="193" fontId="33" fillId="0" borderId="40" xfId="0" applyNumberFormat="1" applyFont="1" applyFill="1" applyBorder="1" applyAlignment="1">
      <alignment vertical="center" shrinkToFit="1"/>
    </xf>
    <xf numFmtId="190" fontId="33" fillId="0" borderId="40" xfId="0" applyNumberFormat="1" applyFont="1" applyBorder="1" applyAlignment="1">
      <alignment vertical="center" shrinkToFit="1"/>
    </xf>
    <xf numFmtId="190" fontId="33" fillId="0" borderId="51" xfId="0" applyNumberFormat="1" applyFont="1" applyFill="1" applyBorder="1" applyAlignment="1">
      <alignment vertical="center" shrinkToFit="1"/>
    </xf>
    <xf numFmtId="190" fontId="33" fillId="0" borderId="43" xfId="0" applyNumberFormat="1" applyFont="1" applyBorder="1" applyAlignment="1">
      <alignment vertical="center" shrinkToFit="1"/>
    </xf>
    <xf numFmtId="190" fontId="33" fillId="0" borderId="35" xfId="0" applyNumberFormat="1" applyFont="1" applyBorder="1" applyAlignment="1">
      <alignment vertical="center" shrinkToFit="1"/>
    </xf>
    <xf numFmtId="190" fontId="33" fillId="0" borderId="37" xfId="0" applyNumberFormat="1" applyFont="1" applyFill="1" applyBorder="1" applyAlignment="1">
      <alignment vertical="center" shrinkToFit="1"/>
    </xf>
    <xf numFmtId="193" fontId="33" fillId="0" borderId="46" xfId="0" applyNumberFormat="1" applyFont="1" applyFill="1" applyBorder="1" applyAlignment="1">
      <alignment vertical="center" shrinkToFit="1"/>
    </xf>
    <xf numFmtId="190" fontId="33" fillId="0" borderId="44" xfId="0" applyNumberFormat="1" applyFont="1" applyFill="1" applyBorder="1" applyAlignment="1">
      <alignment vertical="center" shrinkToFit="1"/>
    </xf>
    <xf numFmtId="190" fontId="33" fillId="28" borderId="46" xfId="0" applyNumberFormat="1" applyFont="1" applyFill="1" applyBorder="1" applyAlignment="1">
      <alignment vertical="center" shrinkToFit="1"/>
    </xf>
    <xf numFmtId="190" fontId="33" fillId="0" borderId="60" xfId="0" applyNumberFormat="1" applyFont="1" applyFill="1" applyBorder="1" applyAlignment="1">
      <alignment vertical="center" shrinkToFit="1"/>
    </xf>
    <xf numFmtId="190" fontId="33" fillId="0" borderId="0" xfId="0" applyNumberFormat="1" applyFont="1" applyAlignment="1">
      <alignment vertical="center" shrinkToFit="1"/>
    </xf>
    <xf numFmtId="190" fontId="33" fillId="0" borderId="0" xfId="0" applyNumberFormat="1" applyFont="1" applyBorder="1" applyAlignment="1">
      <alignment vertical="center"/>
    </xf>
    <xf numFmtId="190" fontId="33" fillId="0" borderId="46" xfId="0" applyNumberFormat="1" applyFont="1" applyFill="1" applyBorder="1" applyAlignment="1">
      <alignment vertical="center"/>
    </xf>
    <xf numFmtId="190" fontId="33" fillId="0" borderId="0" xfId="0" applyNumberFormat="1" applyFont="1" applyFill="1" applyBorder="1" applyAlignment="1">
      <alignment vertical="center"/>
    </xf>
    <xf numFmtId="181" fontId="33" fillId="0" borderId="61" xfId="0" applyNumberFormat="1" applyFont="1" applyFill="1" applyBorder="1" applyAlignment="1">
      <alignment horizontal="center" vertical="center" shrinkToFit="1"/>
    </xf>
    <xf numFmtId="193" fontId="33" fillId="28" borderId="40" xfId="0" applyNumberFormat="1" applyFont="1" applyFill="1" applyBorder="1" applyAlignment="1">
      <alignment vertical="center" shrinkToFit="1"/>
    </xf>
    <xf numFmtId="193" fontId="33" fillId="28" borderId="51" xfId="0" applyNumberFormat="1" applyFont="1" applyFill="1" applyBorder="1" applyAlignment="1">
      <alignment vertical="center" shrinkToFit="1"/>
    </xf>
    <xf numFmtId="190" fontId="32" fillId="0" borderId="35" xfId="0" applyNumberFormat="1" applyFont="1" applyFill="1" applyBorder="1" applyAlignment="1">
      <alignment vertical="center" shrinkToFit="1"/>
    </xf>
    <xf numFmtId="0" fontId="9" fillId="0" borderId="0" xfId="0" applyFont="1" applyBorder="1" applyAlignment="1">
      <alignment horizontal="center" vertical="center"/>
    </xf>
    <xf numFmtId="181" fontId="10" fillId="0" borderId="61" xfId="0" applyNumberFormat="1"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1" xfId="0" applyFont="1" applyFill="1" applyBorder="1" applyAlignment="1">
      <alignment horizontal="center" vertical="center"/>
    </xf>
    <xf numFmtId="0" fontId="0" fillId="0" borderId="0" xfId="0" applyFont="1" applyAlignment="1">
      <alignment vertical="center"/>
    </xf>
    <xf numFmtId="181" fontId="33" fillId="0" borderId="40" xfId="0" applyNumberFormat="1" applyFont="1" applyFill="1" applyBorder="1" applyAlignment="1">
      <alignment vertical="center"/>
    </xf>
    <xf numFmtId="181" fontId="33" fillId="0" borderId="46" xfId="0" applyNumberFormat="1" applyFont="1" applyFill="1" applyBorder="1" applyAlignment="1">
      <alignment vertical="center"/>
    </xf>
    <xf numFmtId="181" fontId="33" fillId="0" borderId="65" xfId="0" applyNumberFormat="1" applyFont="1" applyBorder="1" applyAlignment="1">
      <alignment vertical="center"/>
    </xf>
    <xf numFmtId="38" fontId="33" fillId="0" borderId="65" xfId="49" applyFont="1" applyBorder="1" applyAlignment="1">
      <alignment vertical="center"/>
    </xf>
    <xf numFmtId="0" fontId="10" fillId="0" borderId="57" xfId="0" applyFont="1" applyBorder="1" applyAlignment="1">
      <alignment vertical="center"/>
    </xf>
    <xf numFmtId="38" fontId="33" fillId="0" borderId="40" xfId="49" applyFont="1" applyFill="1" applyBorder="1" applyAlignment="1">
      <alignment vertical="center"/>
    </xf>
    <xf numFmtId="193" fontId="33" fillId="28" borderId="40" xfId="0" applyNumberFormat="1" applyFont="1" applyFill="1" applyBorder="1" applyAlignment="1">
      <alignment vertical="center"/>
    </xf>
    <xf numFmtId="193" fontId="33" fillId="28" borderId="46" xfId="0" applyNumberFormat="1" applyFont="1" applyFill="1" applyBorder="1" applyAlignment="1">
      <alignment vertical="center"/>
    </xf>
    <xf numFmtId="181" fontId="33" fillId="0" borderId="0" xfId="0" applyNumberFormat="1" applyFont="1" applyAlignment="1">
      <alignment vertical="center"/>
    </xf>
    <xf numFmtId="181" fontId="33" fillId="0" borderId="66" xfId="0" applyNumberFormat="1" applyFont="1" applyFill="1" applyBorder="1" applyAlignment="1">
      <alignment horizontal="center" vertical="center"/>
    </xf>
    <xf numFmtId="181" fontId="33" fillId="0" borderId="61" xfId="0" applyNumberFormat="1" applyFont="1" applyFill="1" applyBorder="1" applyAlignment="1">
      <alignment horizontal="center" vertical="center"/>
    </xf>
    <xf numFmtId="181" fontId="33" fillId="0" borderId="67" xfId="0" applyNumberFormat="1" applyFont="1" applyFill="1" applyBorder="1" applyAlignment="1">
      <alignment horizontal="center" vertical="center"/>
    </xf>
    <xf numFmtId="181" fontId="33" fillId="0" borderId="68" xfId="0" applyNumberFormat="1" applyFont="1" applyFill="1" applyBorder="1" applyAlignment="1">
      <alignment horizontal="center" vertical="center"/>
    </xf>
    <xf numFmtId="181" fontId="33" fillId="0" borderId="69" xfId="0" applyNumberFormat="1" applyFont="1" applyFill="1" applyBorder="1" applyAlignment="1">
      <alignment horizontal="center" vertical="center"/>
    </xf>
    <xf numFmtId="181" fontId="33" fillId="0" borderId="70" xfId="0" applyNumberFormat="1" applyFont="1" applyFill="1" applyBorder="1" applyAlignment="1">
      <alignment horizontal="center" vertical="center"/>
    </xf>
    <xf numFmtId="181" fontId="31" fillId="0" borderId="71" xfId="0" applyNumberFormat="1" applyFont="1" applyFill="1" applyBorder="1" applyAlignment="1">
      <alignment horizontal="center" vertical="center"/>
    </xf>
    <xf numFmtId="181" fontId="31" fillId="0" borderId="72" xfId="0" applyNumberFormat="1" applyFont="1" applyFill="1" applyBorder="1" applyAlignment="1">
      <alignment horizontal="center" vertical="center"/>
    </xf>
    <xf numFmtId="181" fontId="31" fillId="0" borderId="73" xfId="0" applyNumberFormat="1" applyFont="1" applyFill="1" applyBorder="1" applyAlignment="1">
      <alignment horizontal="center" vertical="center"/>
    </xf>
    <xf numFmtId="181" fontId="31" fillId="0" borderId="66" xfId="0" applyNumberFormat="1" applyFont="1" applyFill="1" applyBorder="1" applyAlignment="1">
      <alignment horizontal="center" vertical="center"/>
    </xf>
    <xf numFmtId="38" fontId="33" fillId="0" borderId="40" xfId="49" applyFont="1" applyBorder="1" applyAlignment="1">
      <alignment vertical="center"/>
    </xf>
    <xf numFmtId="181" fontId="33" fillId="0" borderId="40" xfId="0" applyNumberFormat="1" applyFont="1" applyBorder="1" applyAlignment="1">
      <alignment vertical="center"/>
    </xf>
    <xf numFmtId="181" fontId="33" fillId="0" borderId="46" xfId="0" applyNumberFormat="1" applyFont="1" applyBorder="1" applyAlignment="1">
      <alignment vertical="center"/>
    </xf>
    <xf numFmtId="38" fontId="33" fillId="0" borderId="46" xfId="49" applyFont="1" applyBorder="1" applyAlignment="1">
      <alignment vertical="center"/>
    </xf>
    <xf numFmtId="177" fontId="33" fillId="0" borderId="65" xfId="0" applyNumberFormat="1" applyFont="1" applyBorder="1" applyAlignment="1" applyProtection="1">
      <alignment vertical="center"/>
      <protection locked="0"/>
    </xf>
    <xf numFmtId="0" fontId="3" fillId="0" borderId="48" xfId="0" applyFont="1" applyBorder="1" applyAlignment="1">
      <alignment vertical="center"/>
    </xf>
    <xf numFmtId="0" fontId="3" fillId="0" borderId="50" xfId="0" applyFont="1" applyBorder="1" applyAlignment="1">
      <alignment vertical="center"/>
    </xf>
    <xf numFmtId="0" fontId="3" fillId="0" borderId="39" xfId="0" applyFont="1" applyFill="1" applyBorder="1" applyAlignment="1">
      <alignment vertical="center"/>
    </xf>
    <xf numFmtId="0" fontId="3" fillId="0" borderId="39" xfId="0" applyFont="1" applyBorder="1" applyAlignment="1">
      <alignment vertical="center"/>
    </xf>
    <xf numFmtId="0" fontId="3" fillId="0" borderId="45" xfId="0" applyFont="1" applyBorder="1" applyAlignment="1">
      <alignment vertical="center"/>
    </xf>
    <xf numFmtId="181" fontId="33" fillId="0" borderId="0" xfId="0" applyNumberFormat="1" applyFont="1" applyFill="1" applyBorder="1" applyAlignment="1">
      <alignment vertical="center"/>
    </xf>
    <xf numFmtId="181" fontId="33" fillId="0" borderId="37" xfId="0" applyNumberFormat="1" applyFont="1" applyBorder="1" applyAlignment="1">
      <alignment vertical="center"/>
    </xf>
    <xf numFmtId="181" fontId="33" fillId="0" borderId="60" xfId="0" applyNumberFormat="1" applyFont="1" applyFill="1" applyBorder="1" applyAlignment="1">
      <alignment vertical="center"/>
    </xf>
    <xf numFmtId="193" fontId="33" fillId="0" borderId="40" xfId="0" applyNumberFormat="1" applyFont="1" applyBorder="1" applyAlignment="1">
      <alignment vertical="center"/>
    </xf>
    <xf numFmtId="181" fontId="33" fillId="28" borderId="46" xfId="0" applyNumberFormat="1" applyFont="1" applyFill="1" applyBorder="1" applyAlignment="1">
      <alignment vertical="center"/>
    </xf>
    <xf numFmtId="38" fontId="33" fillId="0" borderId="65" xfId="49" applyFont="1" applyFill="1" applyBorder="1" applyAlignment="1">
      <alignment vertical="center"/>
    </xf>
    <xf numFmtId="181" fontId="33" fillId="0" borderId="65" xfId="0" applyNumberFormat="1" applyFont="1" applyFill="1" applyBorder="1" applyAlignment="1">
      <alignment vertical="center"/>
    </xf>
    <xf numFmtId="38" fontId="33" fillId="0" borderId="46" xfId="49" applyFont="1" applyFill="1" applyBorder="1" applyAlignment="1">
      <alignment vertical="center"/>
    </xf>
    <xf numFmtId="38" fontId="33" fillId="0" borderId="74" xfId="49" applyFont="1" applyFill="1" applyBorder="1" applyAlignment="1">
      <alignment vertical="center"/>
    </xf>
    <xf numFmtId="181" fontId="33" fillId="0" borderId="74" xfId="0" applyNumberFormat="1" applyFont="1" applyFill="1" applyBorder="1" applyAlignment="1">
      <alignment vertical="center"/>
    </xf>
    <xf numFmtId="0" fontId="33" fillId="0" borderId="0" xfId="0" applyFont="1" applyFill="1" applyBorder="1" applyAlignment="1">
      <alignment vertical="center"/>
    </xf>
    <xf numFmtId="181" fontId="33" fillId="0" borderId="75" xfId="0" applyNumberFormat="1" applyFont="1" applyFill="1" applyBorder="1" applyAlignment="1">
      <alignment vertical="center"/>
    </xf>
    <xf numFmtId="181" fontId="32" fillId="28" borderId="65" xfId="0" applyNumberFormat="1" applyFont="1" applyFill="1" applyBorder="1" applyAlignment="1">
      <alignment vertical="center"/>
    </xf>
    <xf numFmtId="181" fontId="32" fillId="0" borderId="40" xfId="0" applyNumberFormat="1" applyFont="1" applyFill="1" applyBorder="1" applyAlignment="1">
      <alignment vertical="center"/>
    </xf>
    <xf numFmtId="181" fontId="32" fillId="0" borderId="46" xfId="0" applyNumberFormat="1" applyFont="1" applyFill="1" applyBorder="1" applyAlignment="1">
      <alignment vertical="center"/>
    </xf>
    <xf numFmtId="181" fontId="32" fillId="0" borderId="35" xfId="0" applyNumberFormat="1" applyFont="1" applyFill="1" applyBorder="1" applyAlignment="1">
      <alignment vertical="center"/>
    </xf>
    <xf numFmtId="0" fontId="0" fillId="0" borderId="57" xfId="0" applyFont="1" applyBorder="1" applyAlignment="1">
      <alignment vertical="center"/>
    </xf>
    <xf numFmtId="190"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46" xfId="0" applyFont="1" applyBorder="1" applyAlignment="1">
      <alignment vertical="center"/>
    </xf>
    <xf numFmtId="0" fontId="0" fillId="0" borderId="74" xfId="0" applyFont="1" applyBorder="1" applyAlignment="1">
      <alignment horizontal="left" vertical="center" wrapText="1"/>
    </xf>
    <xf numFmtId="0" fontId="0" fillId="0" borderId="65" xfId="0" applyFont="1" applyBorder="1" applyAlignment="1">
      <alignment vertical="center"/>
    </xf>
    <xf numFmtId="38" fontId="33" fillId="0" borderId="30" xfId="49" applyFont="1" applyBorder="1" applyAlignment="1">
      <alignment horizontal="left" vertical="center" wrapText="1"/>
    </xf>
    <xf numFmtId="0" fontId="33" fillId="0" borderId="30" xfId="0" applyFont="1" applyBorder="1" applyAlignment="1">
      <alignment horizontal="left" vertical="center" wrapText="1"/>
    </xf>
    <xf numFmtId="38" fontId="33" fillId="0" borderId="30" xfId="49" applyFont="1" applyBorder="1" applyAlignment="1">
      <alignment horizontal="left" vertical="center" wrapText="1" shrinkToFit="1"/>
    </xf>
    <xf numFmtId="0" fontId="33" fillId="0" borderId="0" xfId="0" applyFont="1" applyAlignment="1">
      <alignment horizontal="left" vertical="center" wrapText="1"/>
    </xf>
    <xf numFmtId="0" fontId="33" fillId="0" borderId="30" xfId="0" applyFont="1" applyBorder="1" applyAlignment="1">
      <alignment horizontal="left" vertical="center" wrapText="1" shrinkToFit="1"/>
    </xf>
    <xf numFmtId="38" fontId="33" fillId="0" borderId="30" xfId="49" applyFont="1" applyFill="1" applyBorder="1" applyAlignment="1">
      <alignment horizontal="left" vertical="center" wrapText="1"/>
    </xf>
    <xf numFmtId="0" fontId="33" fillId="0" borderId="30" xfId="0" applyFont="1" applyFill="1" applyBorder="1" applyAlignment="1">
      <alignment horizontal="left" vertical="center" wrapText="1"/>
    </xf>
    <xf numFmtId="38" fontId="32" fillId="0" borderId="30" xfId="49" applyNumberFormat="1" applyFont="1" applyBorder="1" applyAlignment="1">
      <alignment vertical="center"/>
    </xf>
    <xf numFmtId="38" fontId="32" fillId="0" borderId="30" xfId="49" applyFont="1" applyFill="1" applyBorder="1" applyAlignment="1">
      <alignment horizontal="right" vertical="center"/>
    </xf>
    <xf numFmtId="0" fontId="32" fillId="0" borderId="23" xfId="0" applyFont="1" applyBorder="1" applyAlignment="1">
      <alignment vertical="center"/>
    </xf>
    <xf numFmtId="0" fontId="32" fillId="0" borderId="31" xfId="0" applyFont="1" applyBorder="1" applyAlignment="1">
      <alignment vertical="center"/>
    </xf>
    <xf numFmtId="0" fontId="32" fillId="0" borderId="0" xfId="0" applyFont="1" applyFill="1" applyAlignment="1">
      <alignment/>
    </xf>
    <xf numFmtId="0" fontId="32" fillId="0" borderId="76" xfId="0" applyFont="1" applyFill="1" applyBorder="1" applyAlignment="1">
      <alignment horizontal="center" vertical="center"/>
    </xf>
    <xf numFmtId="0" fontId="32" fillId="0" borderId="77"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78" xfId="0" applyFont="1" applyFill="1" applyBorder="1" applyAlignment="1">
      <alignment horizontal="distributed" vertical="center"/>
    </xf>
    <xf numFmtId="0" fontId="32" fillId="0" borderId="79" xfId="0" applyNumberFormat="1" applyFont="1" applyFill="1" applyBorder="1" applyAlignment="1">
      <alignment/>
    </xf>
    <xf numFmtId="0" fontId="32" fillId="0" borderId="80" xfId="0" applyNumberFormat="1" applyFont="1" applyFill="1" applyBorder="1" applyAlignment="1">
      <alignment/>
    </xf>
    <xf numFmtId="0" fontId="32" fillId="0" borderId="32" xfId="0" applyNumberFormat="1" applyFont="1" applyFill="1" applyBorder="1" applyAlignment="1">
      <alignment/>
    </xf>
    <xf numFmtId="0" fontId="32" fillId="0" borderId="81" xfId="49" applyNumberFormat="1" applyFont="1" applyFill="1" applyBorder="1" applyAlignment="1">
      <alignment/>
    </xf>
    <xf numFmtId="0" fontId="32" fillId="0" borderId="82" xfId="49" applyNumberFormat="1" applyFont="1" applyFill="1" applyBorder="1" applyAlignment="1">
      <alignment horizontal="right" vertical="center"/>
    </xf>
    <xf numFmtId="0" fontId="32" fillId="0" borderId="23" xfId="0" applyNumberFormat="1" applyFont="1" applyFill="1" applyBorder="1" applyAlignment="1">
      <alignment horizontal="right" vertical="center"/>
    </xf>
    <xf numFmtId="0" fontId="32" fillId="0" borderId="30" xfId="0" applyNumberFormat="1" applyFont="1" applyFill="1" applyBorder="1" applyAlignment="1">
      <alignment horizontal="right" vertical="center"/>
    </xf>
    <xf numFmtId="0" fontId="32" fillId="0" borderId="31" xfId="0" applyNumberFormat="1" applyFont="1" applyFill="1" applyBorder="1" applyAlignment="1">
      <alignment horizontal="right" vertical="center"/>
    </xf>
    <xf numFmtId="0" fontId="32" fillId="0" borderId="30" xfId="0" applyNumberFormat="1" applyFont="1" applyFill="1" applyBorder="1" applyAlignment="1">
      <alignment horizontal="right"/>
    </xf>
    <xf numFmtId="0" fontId="32" fillId="0" borderId="31" xfId="0" applyNumberFormat="1" applyFont="1" applyFill="1" applyBorder="1" applyAlignment="1">
      <alignment horizontal="right"/>
    </xf>
    <xf numFmtId="0" fontId="32" fillId="0" borderId="82" xfId="49" applyNumberFormat="1" applyFont="1" applyFill="1" applyBorder="1" applyAlignment="1">
      <alignment horizontal="right"/>
    </xf>
    <xf numFmtId="0" fontId="32" fillId="0" borderId="23" xfId="0" applyNumberFormat="1" applyFont="1" applyFill="1" applyBorder="1" applyAlignment="1">
      <alignment horizontal="right"/>
    </xf>
    <xf numFmtId="185" fontId="32" fillId="0" borderId="23" xfId="0" applyNumberFormat="1" applyFont="1" applyFill="1" applyBorder="1" applyAlignment="1">
      <alignment horizontal="right" vertical="center"/>
    </xf>
    <xf numFmtId="185" fontId="32" fillId="0" borderId="30" xfId="0" applyNumberFormat="1" applyFont="1" applyFill="1" applyBorder="1" applyAlignment="1">
      <alignment horizontal="right" vertical="center"/>
    </xf>
    <xf numFmtId="185" fontId="32" fillId="0" borderId="31" xfId="0" applyNumberFormat="1" applyFont="1" applyFill="1" applyBorder="1" applyAlignment="1">
      <alignment horizontal="right" vertical="center"/>
    </xf>
    <xf numFmtId="185" fontId="32" fillId="0" borderId="82" xfId="49" applyNumberFormat="1" applyFont="1" applyFill="1" applyBorder="1" applyAlignment="1">
      <alignment horizontal="right"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181" fontId="31" fillId="0" borderId="86" xfId="0" applyNumberFormat="1" applyFont="1" applyFill="1" applyBorder="1" applyAlignment="1">
      <alignment horizontal="center" vertical="center"/>
    </xf>
    <xf numFmtId="0" fontId="33" fillId="0" borderId="62" xfId="0" applyFont="1" applyFill="1" applyBorder="1" applyAlignment="1">
      <alignment horizontal="center" vertical="center"/>
    </xf>
    <xf numFmtId="181" fontId="31" fillId="0" borderId="87" xfId="0" applyNumberFormat="1" applyFont="1" applyFill="1" applyBorder="1" applyAlignment="1">
      <alignment horizontal="center" vertical="center"/>
    </xf>
    <xf numFmtId="0" fontId="33" fillId="0" borderId="63" xfId="0" applyFont="1" applyFill="1" applyBorder="1" applyAlignment="1">
      <alignment horizontal="center" vertical="center"/>
    </xf>
    <xf numFmtId="181" fontId="31" fillId="0" borderId="88" xfId="0" applyNumberFormat="1" applyFont="1" applyFill="1" applyBorder="1" applyAlignment="1">
      <alignment horizontal="center" vertical="center"/>
    </xf>
    <xf numFmtId="0" fontId="33" fillId="0" borderId="64" xfId="0" applyFont="1" applyFill="1" applyBorder="1" applyAlignment="1">
      <alignment horizontal="center" vertical="center"/>
    </xf>
    <xf numFmtId="181" fontId="31" fillId="0" borderId="89" xfId="0" applyNumberFormat="1" applyFont="1" applyFill="1" applyBorder="1" applyAlignment="1">
      <alignment horizontal="center" vertical="center"/>
    </xf>
    <xf numFmtId="0" fontId="33" fillId="0" borderId="61" xfId="0" applyFont="1" applyFill="1" applyBorder="1" applyAlignment="1">
      <alignment horizontal="center" vertical="center"/>
    </xf>
    <xf numFmtId="38" fontId="32" fillId="33" borderId="31" xfId="49" applyFont="1" applyFill="1" applyBorder="1" applyAlignment="1">
      <alignment vertical="center"/>
    </xf>
    <xf numFmtId="38" fontId="32" fillId="0" borderId="21" xfId="49" applyFont="1" applyFill="1" applyBorder="1" applyAlignment="1">
      <alignment horizontal="right"/>
    </xf>
    <xf numFmtId="38" fontId="32" fillId="0" borderId="27" xfId="49" applyFont="1" applyFill="1" applyBorder="1" applyAlignment="1">
      <alignment horizontal="right"/>
    </xf>
    <xf numFmtId="194" fontId="33" fillId="33" borderId="31" xfId="49" applyNumberFormat="1" applyFont="1" applyFill="1" applyBorder="1" applyAlignment="1">
      <alignment vertical="center"/>
    </xf>
    <xf numFmtId="0" fontId="0" fillId="0" borderId="14" xfId="0" applyBorder="1" applyAlignment="1">
      <alignment/>
    </xf>
    <xf numFmtId="0" fontId="16" fillId="0" borderId="15" xfId="0" applyFont="1" applyBorder="1" applyAlignment="1">
      <alignment horizontal="distributed" vertical="center"/>
    </xf>
    <xf numFmtId="0" fontId="0" fillId="0" borderId="15" xfId="0" applyBorder="1" applyAlignment="1">
      <alignment/>
    </xf>
    <xf numFmtId="0" fontId="0" fillId="0" borderId="16" xfId="0" applyBorder="1" applyAlignment="1">
      <alignment/>
    </xf>
    <xf numFmtId="0" fontId="3" fillId="0" borderId="17" xfId="0" applyFont="1" applyBorder="1" applyAlignment="1">
      <alignment/>
    </xf>
    <xf numFmtId="0" fontId="3" fillId="0" borderId="10" xfId="0" applyFont="1" applyBorder="1" applyAlignment="1">
      <alignment/>
    </xf>
    <xf numFmtId="0" fontId="16" fillId="0" borderId="11" xfId="0" applyFont="1" applyBorder="1" applyAlignment="1">
      <alignment horizontal="distributed" vertical="center"/>
    </xf>
    <xf numFmtId="0" fontId="0" fillId="0" borderId="90" xfId="0" applyBorder="1" applyAlignment="1">
      <alignment/>
    </xf>
    <xf numFmtId="0" fontId="6" fillId="0" borderId="91" xfId="0" applyFont="1" applyBorder="1" applyAlignment="1">
      <alignment horizontal="center" vertical="center"/>
    </xf>
    <xf numFmtId="0" fontId="3" fillId="0" borderId="91" xfId="0" applyFont="1" applyBorder="1" applyAlignment="1">
      <alignment/>
    </xf>
    <xf numFmtId="0" fontId="3" fillId="0" borderId="20" xfId="0" applyFont="1" applyBorder="1" applyAlignment="1">
      <alignment/>
    </xf>
    <xf numFmtId="0" fontId="3" fillId="0" borderId="92" xfId="0" applyFont="1" applyBorder="1" applyAlignment="1">
      <alignment/>
    </xf>
    <xf numFmtId="0" fontId="3" fillId="0" borderId="32" xfId="0" applyFont="1" applyBorder="1" applyAlignment="1">
      <alignment/>
    </xf>
    <xf numFmtId="0" fontId="33" fillId="0" borderId="30" xfId="0" applyFont="1" applyBorder="1" applyAlignment="1">
      <alignment horizontal="center" vertical="center" wrapText="1"/>
    </xf>
    <xf numFmtId="0" fontId="3" fillId="0" borderId="93" xfId="0" applyFont="1" applyBorder="1" applyAlignment="1">
      <alignment/>
    </xf>
    <xf numFmtId="0" fontId="16" fillId="0" borderId="92" xfId="0" applyFont="1" applyBorder="1" applyAlignment="1">
      <alignment horizontal="distributed" vertical="center"/>
    </xf>
    <xf numFmtId="0" fontId="3" fillId="0" borderId="94" xfId="0" applyFont="1" applyBorder="1" applyAlignment="1">
      <alignment/>
    </xf>
    <xf numFmtId="38" fontId="3" fillId="0" borderId="90" xfId="49" applyFont="1" applyFill="1" applyBorder="1" applyAlignment="1">
      <alignment/>
    </xf>
    <xf numFmtId="38" fontId="32" fillId="0" borderId="20" xfId="49" applyFont="1" applyFill="1" applyBorder="1" applyAlignment="1">
      <alignment/>
    </xf>
    <xf numFmtId="38" fontId="32" fillId="0" borderId="91" xfId="49" applyFont="1" applyFill="1" applyBorder="1" applyAlignment="1">
      <alignment/>
    </xf>
    <xf numFmtId="38" fontId="33" fillId="0" borderId="61" xfId="49" applyFont="1" applyFill="1" applyBorder="1" applyAlignment="1">
      <alignment horizontal="right" vertical="center" shrinkToFit="1"/>
    </xf>
    <xf numFmtId="0" fontId="5" fillId="0" borderId="66" xfId="0" applyFont="1" applyFill="1" applyBorder="1" applyAlignment="1">
      <alignment/>
    </xf>
    <xf numFmtId="38" fontId="6" fillId="0" borderId="61" xfId="49" applyFont="1" applyFill="1" applyBorder="1" applyAlignment="1">
      <alignment horizontal="distributed" vertical="center"/>
    </xf>
    <xf numFmtId="38" fontId="33" fillId="0" borderId="95" xfId="49" applyFont="1" applyFill="1" applyBorder="1" applyAlignment="1">
      <alignment vertical="center"/>
    </xf>
    <xf numFmtId="38" fontId="33" fillId="0" borderId="95" xfId="49" applyFont="1" applyFill="1" applyBorder="1" applyAlignment="1">
      <alignment horizontal="right" vertical="center"/>
    </xf>
    <xf numFmtId="0" fontId="10" fillId="0" borderId="30" xfId="0" applyFont="1" applyBorder="1" applyAlignment="1">
      <alignment horizontal="center" vertical="center" wrapText="1"/>
    </xf>
    <xf numFmtId="38" fontId="98" fillId="0" borderId="0" xfId="49" applyFont="1" applyFill="1" applyAlignment="1">
      <alignment/>
    </xf>
    <xf numFmtId="38" fontId="32" fillId="0" borderId="30" xfId="0" applyNumberFormat="1" applyFont="1" applyBorder="1" applyAlignment="1">
      <alignment vertical="center"/>
    </xf>
    <xf numFmtId="38" fontId="5" fillId="0" borderId="30" xfId="0" applyNumberFormat="1" applyFont="1" applyFill="1" applyBorder="1" applyAlignment="1">
      <alignment horizontal="distributed" vertical="center"/>
    </xf>
    <xf numFmtId="38" fontId="20" fillId="0" borderId="30" xfId="0" applyNumberFormat="1" applyFont="1" applyFill="1" applyBorder="1" applyAlignment="1">
      <alignment horizontal="distributed" vertical="center"/>
    </xf>
    <xf numFmtId="38" fontId="4" fillId="0" borderId="30" xfId="0" applyNumberFormat="1" applyFont="1" applyFill="1" applyBorder="1" applyAlignment="1">
      <alignment horizontal="distributed" vertical="center"/>
    </xf>
    <xf numFmtId="38" fontId="5" fillId="0" borderId="31" xfId="0" applyNumberFormat="1" applyFont="1" applyFill="1" applyBorder="1" applyAlignment="1">
      <alignment horizontal="distributed" vertical="center"/>
    </xf>
    <xf numFmtId="0" fontId="5" fillId="0" borderId="96" xfId="0" applyFont="1" applyFill="1" applyBorder="1" applyAlignment="1">
      <alignment horizontal="distributed" vertical="center"/>
    </xf>
    <xf numFmtId="0" fontId="12"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40" xfId="0" applyFont="1" applyFill="1" applyBorder="1" applyAlignment="1">
      <alignment/>
    </xf>
    <xf numFmtId="0" fontId="5" fillId="33" borderId="47" xfId="0" applyNumberFormat="1" applyFont="1" applyFill="1" applyBorder="1" applyAlignment="1">
      <alignment/>
    </xf>
    <xf numFmtId="0" fontId="5" fillId="33" borderId="37" xfId="0" applyNumberFormat="1" applyFont="1" applyFill="1" applyBorder="1" applyAlignment="1">
      <alignment/>
    </xf>
    <xf numFmtId="0" fontId="5" fillId="33" borderId="38" xfId="0" applyNumberFormat="1" applyFont="1" applyFill="1" applyBorder="1" applyAlignment="1">
      <alignment/>
    </xf>
    <xf numFmtId="0" fontId="5" fillId="33" borderId="48" xfId="0" applyNumberFormat="1" applyFont="1" applyFill="1" applyBorder="1" applyAlignment="1">
      <alignment/>
    </xf>
    <xf numFmtId="0" fontId="5" fillId="33" borderId="40" xfId="0" applyNumberFormat="1" applyFont="1" applyFill="1" applyBorder="1" applyAlignment="1">
      <alignment/>
    </xf>
    <xf numFmtId="0" fontId="5" fillId="33" borderId="41" xfId="0" applyNumberFormat="1" applyFont="1" applyFill="1" applyBorder="1" applyAlignment="1">
      <alignment/>
    </xf>
    <xf numFmtId="0" fontId="5" fillId="33" borderId="49" xfId="0" applyNumberFormat="1" applyFont="1" applyFill="1" applyBorder="1" applyAlignment="1">
      <alignment/>
    </xf>
    <xf numFmtId="0" fontId="5" fillId="33" borderId="46" xfId="0" applyNumberFormat="1" applyFont="1" applyFill="1" applyBorder="1" applyAlignment="1">
      <alignment/>
    </xf>
    <xf numFmtId="0" fontId="5" fillId="33" borderId="42" xfId="0" applyNumberFormat="1" applyFont="1" applyFill="1" applyBorder="1" applyAlignment="1">
      <alignment/>
    </xf>
    <xf numFmtId="0" fontId="32" fillId="0" borderId="23" xfId="0" applyFont="1" applyFill="1" applyBorder="1" applyAlignment="1">
      <alignment vertical="center"/>
    </xf>
    <xf numFmtId="0" fontId="32" fillId="0" borderId="30" xfId="0" applyFont="1" applyFill="1" applyBorder="1" applyAlignment="1">
      <alignment vertical="center"/>
    </xf>
    <xf numFmtId="0" fontId="32" fillId="0" borderId="31" xfId="0" applyFont="1" applyFill="1" applyBorder="1" applyAlignment="1">
      <alignment vertical="center"/>
    </xf>
    <xf numFmtId="38" fontId="5" fillId="0" borderId="80"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6" fillId="0" borderId="31" xfId="0" applyFont="1" applyFill="1" applyBorder="1" applyAlignment="1">
      <alignment vertical="center"/>
    </xf>
    <xf numFmtId="182" fontId="8" fillId="0" borderId="97" xfId="0" applyNumberFormat="1" applyFont="1" applyFill="1" applyBorder="1" applyAlignment="1">
      <alignment vertical="center"/>
    </xf>
    <xf numFmtId="0" fontId="5" fillId="0" borderId="29" xfId="0" applyFont="1" applyFill="1" applyBorder="1" applyAlignment="1">
      <alignment horizontal="center"/>
    </xf>
    <xf numFmtId="182" fontId="8" fillId="0" borderId="98" xfId="0" applyNumberFormat="1" applyFont="1" applyFill="1" applyBorder="1" applyAlignment="1">
      <alignment horizontal="right" vertical="center"/>
    </xf>
    <xf numFmtId="0" fontId="5" fillId="0" borderId="19"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19" xfId="0" applyFont="1" applyFill="1" applyBorder="1" applyAlignment="1">
      <alignment horizontal="center"/>
    </xf>
    <xf numFmtId="0" fontId="9" fillId="0" borderId="0" xfId="0" applyFont="1" applyAlignment="1">
      <alignment horizontal="center" vertical="center"/>
    </xf>
    <xf numFmtId="38" fontId="32" fillId="0" borderId="30" xfId="0" applyNumberFormat="1" applyFont="1" applyBorder="1" applyAlignment="1">
      <alignment horizontal="center" vertical="center"/>
    </xf>
    <xf numFmtId="0" fontId="16" fillId="0" borderId="38" xfId="0" applyFont="1" applyBorder="1" applyAlignment="1">
      <alignment vertical="center"/>
    </xf>
    <xf numFmtId="178" fontId="3" fillId="0" borderId="0" xfId="49" applyNumberFormat="1" applyFont="1" applyFill="1" applyAlignment="1">
      <alignment/>
    </xf>
    <xf numFmtId="0" fontId="0" fillId="0" borderId="99" xfId="0" applyFont="1" applyBorder="1" applyAlignment="1">
      <alignment vertical="center"/>
    </xf>
    <xf numFmtId="190" fontId="33" fillId="0" borderId="100" xfId="0" applyNumberFormat="1" applyFont="1" applyFill="1" applyBorder="1" applyAlignment="1">
      <alignment vertical="center" shrinkToFit="1"/>
    </xf>
    <xf numFmtId="190" fontId="33" fillId="0" borderId="100" xfId="0" applyNumberFormat="1" applyFont="1" applyFill="1" applyBorder="1" applyAlignment="1">
      <alignment vertical="center"/>
    </xf>
    <xf numFmtId="190" fontId="32" fillId="0" borderId="100" xfId="0" applyNumberFormat="1" applyFont="1" applyFill="1" applyBorder="1" applyAlignment="1">
      <alignment vertical="center"/>
    </xf>
    <xf numFmtId="0" fontId="0" fillId="0" borderId="75" xfId="0" applyFont="1" applyBorder="1" applyAlignment="1">
      <alignment vertical="center"/>
    </xf>
    <xf numFmtId="0" fontId="5" fillId="0" borderId="61" xfId="0" applyFont="1" applyFill="1" applyBorder="1" applyAlignment="1">
      <alignment horizontal="center" vertical="center" shrinkToFit="1"/>
    </xf>
    <xf numFmtId="0" fontId="3" fillId="0" borderId="23" xfId="0" applyFont="1" applyFill="1" applyBorder="1" applyAlignment="1">
      <alignment horizontal="right"/>
    </xf>
    <xf numFmtId="0" fontId="3" fillId="0" borderId="19" xfId="0" applyFont="1" applyFill="1" applyBorder="1" applyAlignment="1">
      <alignment horizontal="right"/>
    </xf>
    <xf numFmtId="0" fontId="3" fillId="0" borderId="26" xfId="0" applyFont="1" applyFill="1" applyBorder="1" applyAlignment="1">
      <alignment horizontal="right"/>
    </xf>
    <xf numFmtId="0" fontId="3" fillId="0" borderId="24" xfId="0" applyFont="1" applyFill="1" applyBorder="1" applyAlignment="1">
      <alignment horizontal="right"/>
    </xf>
    <xf numFmtId="0" fontId="3" fillId="0" borderId="101" xfId="0" applyFont="1" applyFill="1" applyBorder="1" applyAlignment="1">
      <alignment horizontal="right"/>
    </xf>
    <xf numFmtId="0" fontId="3" fillId="0" borderId="102" xfId="0" applyFont="1" applyFill="1" applyBorder="1" applyAlignment="1">
      <alignment horizontal="right"/>
    </xf>
    <xf numFmtId="0" fontId="3" fillId="0" borderId="11" xfId="0" applyFont="1" applyFill="1" applyBorder="1" applyAlignment="1">
      <alignment horizontal="right"/>
    </xf>
    <xf numFmtId="0" fontId="3" fillId="0" borderId="13" xfId="0" applyFont="1" applyFill="1" applyBorder="1" applyAlignment="1">
      <alignment horizontal="right"/>
    </xf>
    <xf numFmtId="0" fontId="3" fillId="0" borderId="25" xfId="0" applyFont="1" applyFill="1" applyBorder="1" applyAlignment="1">
      <alignment horizontal="right"/>
    </xf>
    <xf numFmtId="0" fontId="3" fillId="0" borderId="22" xfId="0" applyFont="1" applyFill="1" applyBorder="1" applyAlignment="1">
      <alignment horizontal="right"/>
    </xf>
    <xf numFmtId="0" fontId="3" fillId="0" borderId="29" xfId="0" applyFont="1" applyFill="1" applyBorder="1" applyAlignment="1">
      <alignment horizontal="right"/>
    </xf>
    <xf numFmtId="38" fontId="3" fillId="0" borderId="19" xfId="49" applyFont="1" applyFill="1" applyBorder="1" applyAlignment="1">
      <alignment horizontal="right"/>
    </xf>
    <xf numFmtId="0" fontId="3" fillId="0" borderId="28" xfId="0" applyFont="1" applyFill="1" applyBorder="1" applyAlignment="1">
      <alignment horizontal="right"/>
    </xf>
    <xf numFmtId="0" fontId="3" fillId="0" borderId="25" xfId="0" applyFont="1" applyFill="1" applyBorder="1" applyAlignment="1">
      <alignment horizontal="right" vertical="center"/>
    </xf>
    <xf numFmtId="0" fontId="3" fillId="0" borderId="11" xfId="0" applyFont="1" applyFill="1" applyBorder="1" applyAlignment="1">
      <alignment horizontal="right" vertical="center"/>
    </xf>
    <xf numFmtId="38" fontId="3" fillId="0" borderId="101" xfId="49" applyFont="1" applyFill="1" applyBorder="1" applyAlignment="1">
      <alignment horizontal="right"/>
    </xf>
    <xf numFmtId="38" fontId="3" fillId="0" borderId="13" xfId="49" applyFont="1" applyFill="1" applyBorder="1" applyAlignment="1">
      <alignment horizontal="right"/>
    </xf>
    <xf numFmtId="38" fontId="3" fillId="0" borderId="13" xfId="49" applyFont="1" applyFill="1" applyBorder="1" applyAlignment="1">
      <alignment horizontal="right" vertical="center"/>
    </xf>
    <xf numFmtId="0" fontId="3" fillId="0" borderId="13" xfId="0" applyFont="1" applyFill="1" applyBorder="1" applyAlignment="1">
      <alignment horizontal="right" vertical="center"/>
    </xf>
    <xf numFmtId="38" fontId="3" fillId="0" borderId="0" xfId="49" applyFont="1" applyFill="1" applyAlignment="1">
      <alignment horizontal="right"/>
    </xf>
    <xf numFmtId="41" fontId="3" fillId="0" borderId="0" xfId="49" applyNumberFormat="1" applyFont="1" applyFill="1" applyAlignment="1">
      <alignment/>
    </xf>
    <xf numFmtId="0" fontId="10" fillId="0" borderId="0" xfId="0" applyFont="1" applyAlignment="1">
      <alignment horizontal="left" vertical="center" wrapText="1"/>
    </xf>
    <xf numFmtId="3" fontId="31" fillId="0" borderId="0" xfId="0" applyNumberFormat="1" applyFont="1" applyAlignment="1">
      <alignment vertical="center"/>
    </xf>
    <xf numFmtId="0" fontId="31" fillId="0" borderId="0" xfId="0" applyFont="1" applyAlignment="1">
      <alignment horizontal="center" vertical="center"/>
    </xf>
    <xf numFmtId="0" fontId="5" fillId="0" borderId="103" xfId="0" applyFont="1" applyFill="1" applyBorder="1" applyAlignment="1">
      <alignment horizontal="center"/>
    </xf>
    <xf numFmtId="182" fontId="8" fillId="0" borderId="12" xfId="0" applyNumberFormat="1" applyFont="1" applyFill="1" applyBorder="1" applyAlignment="1">
      <alignment horizontal="right" vertical="center"/>
    </xf>
    <xf numFmtId="0" fontId="5" fillId="0" borderId="13" xfId="0" applyFont="1" applyFill="1" applyBorder="1" applyAlignment="1">
      <alignment horizontal="center"/>
    </xf>
    <xf numFmtId="0" fontId="5" fillId="0" borderId="32" xfId="0" applyFont="1" applyFill="1" applyBorder="1" applyAlignment="1">
      <alignment horizontal="distributed" vertical="center"/>
    </xf>
    <xf numFmtId="0" fontId="32" fillId="0" borderId="79" xfId="0" applyNumberFormat="1" applyFont="1" applyFill="1" applyBorder="1" applyAlignment="1">
      <alignment horizontal="right"/>
    </xf>
    <xf numFmtId="0" fontId="32" fillId="0" borderId="21" xfId="0" applyNumberFormat="1" applyFont="1" applyFill="1" applyBorder="1" applyAlignment="1">
      <alignment horizontal="right"/>
    </xf>
    <xf numFmtId="0" fontId="5" fillId="0" borderId="26" xfId="0" applyFont="1" applyFill="1" applyBorder="1" applyAlignment="1">
      <alignment horizontal="center"/>
    </xf>
    <xf numFmtId="0" fontId="14" fillId="0" borderId="0" xfId="0" applyFont="1" applyAlignment="1">
      <alignment horizontal="left" vertical="center" wrapText="1"/>
    </xf>
    <xf numFmtId="0" fontId="14" fillId="0" borderId="30" xfId="0" applyFont="1" applyBorder="1" applyAlignment="1">
      <alignment horizontal="left" vertical="center" wrapText="1"/>
    </xf>
    <xf numFmtId="0" fontId="32" fillId="0" borderId="104" xfId="49" applyNumberFormat="1" applyFont="1" applyFill="1" applyBorder="1" applyAlignment="1">
      <alignment horizontal="right"/>
    </xf>
    <xf numFmtId="0" fontId="32" fillId="0" borderId="105" xfId="0" applyFont="1" applyFill="1" applyBorder="1" applyAlignment="1">
      <alignment/>
    </xf>
    <xf numFmtId="0" fontId="32" fillId="0" borderId="19" xfId="49" applyNumberFormat="1" applyFont="1" applyFill="1" applyBorder="1" applyAlignment="1">
      <alignment horizontal="right"/>
    </xf>
    <xf numFmtId="0" fontId="32" fillId="0" borderId="94" xfId="49" applyNumberFormat="1" applyFont="1" applyFill="1" applyBorder="1" applyAlignment="1">
      <alignment horizontal="right"/>
    </xf>
    <xf numFmtId="0" fontId="32" fillId="0" borderId="106" xfId="0" applyNumberFormat="1" applyFont="1" applyFill="1" applyBorder="1" applyAlignment="1">
      <alignment horizontal="right"/>
    </xf>
    <xf numFmtId="0" fontId="33" fillId="0" borderId="34" xfId="0" applyFont="1" applyFill="1" applyBorder="1" applyAlignment="1">
      <alignment horizontal="center" vertical="center"/>
    </xf>
    <xf numFmtId="0" fontId="33" fillId="0" borderId="35" xfId="0" applyFont="1" applyFill="1" applyBorder="1" applyAlignment="1">
      <alignment horizontal="center" vertical="center"/>
    </xf>
    <xf numFmtId="38" fontId="33" fillId="0" borderId="107" xfId="49" applyFont="1" applyFill="1" applyBorder="1" applyAlignment="1">
      <alignment horizontal="right" vertical="center"/>
    </xf>
    <xf numFmtId="38" fontId="33" fillId="0" borderId="108" xfId="49" applyFont="1" applyFill="1" applyBorder="1" applyAlignment="1">
      <alignment horizontal="right" vertical="center" shrinkToFit="1"/>
    </xf>
    <xf numFmtId="38" fontId="33" fillId="0" borderId="63" xfId="49" applyFont="1" applyFill="1" applyBorder="1" applyAlignment="1">
      <alignment horizontal="right" vertical="center" shrinkToFit="1"/>
    </xf>
    <xf numFmtId="0" fontId="33" fillId="0" borderId="55" xfId="0" applyFont="1" applyFill="1" applyBorder="1" applyAlignment="1">
      <alignment horizontal="center" vertical="center"/>
    </xf>
    <xf numFmtId="38" fontId="33" fillId="0" borderId="109" xfId="49" applyFont="1" applyFill="1" applyBorder="1" applyAlignment="1">
      <alignment horizontal="right" vertical="center" shrinkToFit="1"/>
    </xf>
    <xf numFmtId="38" fontId="33" fillId="0" borderId="110" xfId="49" applyFont="1" applyFill="1" applyBorder="1" applyAlignment="1">
      <alignment horizontal="right" vertical="center" shrinkToFit="1"/>
    </xf>
    <xf numFmtId="38" fontId="33" fillId="0" borderId="60" xfId="49" applyFont="1" applyFill="1" applyBorder="1" applyAlignment="1">
      <alignment horizontal="right" vertical="center" shrinkToFit="1"/>
    </xf>
    <xf numFmtId="38" fontId="33" fillId="0" borderId="48" xfId="49" applyFont="1" applyFill="1" applyBorder="1" applyAlignment="1">
      <alignment horizontal="right" vertical="center" shrinkToFit="1"/>
    </xf>
    <xf numFmtId="38" fontId="33" fillId="0" borderId="40" xfId="49" applyFont="1" applyFill="1" applyBorder="1" applyAlignment="1">
      <alignment horizontal="right" vertical="center" shrinkToFit="1"/>
    </xf>
    <xf numFmtId="38" fontId="33" fillId="0" borderId="41" xfId="49" applyFont="1" applyFill="1" applyBorder="1" applyAlignment="1">
      <alignment horizontal="right" vertical="center" shrinkToFit="1"/>
    </xf>
    <xf numFmtId="38" fontId="33" fillId="0" borderId="111" xfId="49" applyFont="1" applyFill="1" applyBorder="1" applyAlignment="1">
      <alignment horizontal="right" vertical="center" shrinkToFit="1"/>
    </xf>
    <xf numFmtId="38" fontId="33" fillId="0" borderId="100" xfId="49" applyFont="1" applyFill="1" applyBorder="1" applyAlignment="1">
      <alignment horizontal="right" vertical="center" shrinkToFit="1"/>
    </xf>
    <xf numFmtId="38" fontId="33" fillId="0" borderId="75" xfId="49" applyFont="1" applyFill="1" applyBorder="1" applyAlignment="1">
      <alignment horizontal="right" vertical="center" shrinkToFit="1"/>
    </xf>
    <xf numFmtId="38" fontId="33" fillId="0" borderId="55" xfId="49" applyFont="1" applyFill="1" applyBorder="1" applyAlignment="1">
      <alignment horizontal="right" vertical="center" shrinkToFit="1"/>
    </xf>
    <xf numFmtId="38" fontId="33" fillId="0" borderId="34" xfId="49" applyFont="1" applyFill="1" applyBorder="1" applyAlignment="1">
      <alignment horizontal="right" vertical="center" shrinkToFit="1"/>
    </xf>
    <xf numFmtId="38" fontId="33" fillId="0" borderId="35" xfId="49" applyFont="1" applyFill="1" applyBorder="1" applyAlignment="1">
      <alignment horizontal="right" vertical="center" shrinkToFit="1"/>
    </xf>
    <xf numFmtId="38" fontId="31" fillId="0" borderId="112" xfId="49" applyFont="1" applyFill="1" applyBorder="1" applyAlignment="1">
      <alignment horizontal="right" vertical="center"/>
    </xf>
    <xf numFmtId="38" fontId="33" fillId="0" borderId="107" xfId="49" applyFont="1" applyFill="1" applyBorder="1" applyAlignment="1">
      <alignment horizontal="center" vertical="center"/>
    </xf>
    <xf numFmtId="38" fontId="31" fillId="0" borderId="87" xfId="49" applyFont="1" applyFill="1" applyBorder="1" applyAlignment="1">
      <alignment horizontal="right" vertical="center"/>
    </xf>
    <xf numFmtId="38" fontId="33" fillId="0" borderId="63" xfId="49" applyFont="1" applyFill="1" applyBorder="1" applyAlignment="1">
      <alignment horizontal="center" vertical="center"/>
    </xf>
    <xf numFmtId="38" fontId="31" fillId="0" borderId="113" xfId="49" applyFont="1" applyFill="1" applyBorder="1" applyAlignment="1">
      <alignment horizontal="right" vertical="center"/>
    </xf>
    <xf numFmtId="38" fontId="33" fillId="0" borderId="108" xfId="49" applyFont="1" applyFill="1" applyBorder="1" applyAlignment="1">
      <alignment horizontal="center" vertical="center"/>
    </xf>
    <xf numFmtId="38" fontId="31" fillId="0" borderId="89" xfId="49" applyFont="1" applyFill="1" applyBorder="1" applyAlignment="1">
      <alignment horizontal="right" vertical="center"/>
    </xf>
    <xf numFmtId="38" fontId="33" fillId="0" borderId="61" xfId="49" applyFont="1" applyFill="1" applyBorder="1" applyAlignment="1">
      <alignment horizontal="center" vertical="center"/>
    </xf>
    <xf numFmtId="0" fontId="5" fillId="0" borderId="55" xfId="0" applyFont="1" applyFill="1" applyBorder="1" applyAlignment="1">
      <alignment/>
    </xf>
    <xf numFmtId="38" fontId="33" fillId="0" borderId="47" xfId="49" applyFont="1" applyFill="1" applyBorder="1" applyAlignment="1">
      <alignment horizontal="right" vertical="center"/>
    </xf>
    <xf numFmtId="38" fontId="33" fillId="0" borderId="37" xfId="49" applyFont="1" applyFill="1" applyBorder="1" applyAlignment="1">
      <alignment horizontal="right" vertical="center"/>
    </xf>
    <xf numFmtId="38" fontId="33" fillId="0" borderId="38" xfId="49" applyFont="1" applyFill="1" applyBorder="1" applyAlignment="1">
      <alignment horizontal="right" vertical="center"/>
    </xf>
    <xf numFmtId="38" fontId="33" fillId="0" borderId="62" xfId="49" applyFont="1" applyFill="1" applyBorder="1" applyAlignment="1">
      <alignment horizontal="right" vertical="center"/>
    </xf>
    <xf numFmtId="38" fontId="33" fillId="0" borderId="49" xfId="49" applyFont="1" applyFill="1" applyBorder="1" applyAlignment="1">
      <alignment horizontal="right" vertical="center"/>
    </xf>
    <xf numFmtId="38" fontId="33" fillId="0" borderId="46" xfId="49" applyFont="1" applyFill="1" applyBorder="1" applyAlignment="1">
      <alignment horizontal="right" vertical="center"/>
    </xf>
    <xf numFmtId="38" fontId="33" fillId="0" borderId="42" xfId="49" applyFont="1" applyFill="1" applyBorder="1" applyAlignment="1">
      <alignment horizontal="right" vertical="center"/>
    </xf>
    <xf numFmtId="38" fontId="33" fillId="0" borderId="70" xfId="49" applyFont="1" applyFill="1" applyBorder="1" applyAlignment="1">
      <alignment horizontal="right" vertical="center"/>
    </xf>
    <xf numFmtId="38" fontId="33" fillId="0" borderId="63" xfId="49" applyFont="1" applyFill="1" applyBorder="1" applyAlignment="1">
      <alignment horizontal="right" vertical="center"/>
    </xf>
    <xf numFmtId="38" fontId="33" fillId="0" borderId="66" xfId="49" applyFont="1" applyFill="1" applyBorder="1" applyAlignment="1">
      <alignment horizontal="center" vertical="center"/>
    </xf>
    <xf numFmtId="38" fontId="33" fillId="0" borderId="114" xfId="49" applyFont="1" applyFill="1" applyBorder="1" applyAlignment="1">
      <alignment horizontal="right" vertical="center"/>
    </xf>
    <xf numFmtId="38" fontId="33" fillId="0" borderId="72" xfId="49" applyFont="1" applyFill="1" applyBorder="1" applyAlignment="1">
      <alignment horizontal="right" vertical="center"/>
    </xf>
    <xf numFmtId="38" fontId="33" fillId="0" borderId="115" xfId="49" applyFont="1" applyFill="1" applyBorder="1" applyAlignment="1">
      <alignment horizontal="right" vertical="center"/>
    </xf>
    <xf numFmtId="38" fontId="33" fillId="0" borderId="115" xfId="49" applyFont="1" applyFill="1" applyBorder="1" applyAlignment="1">
      <alignment vertical="center"/>
    </xf>
    <xf numFmtId="38" fontId="33" fillId="0" borderId="34" xfId="49" applyFont="1" applyFill="1" applyBorder="1" applyAlignment="1">
      <alignment horizontal="center" vertical="center"/>
    </xf>
    <xf numFmtId="38" fontId="33" fillId="0" borderId="110" xfId="49" applyFont="1" applyFill="1" applyBorder="1" applyAlignment="1">
      <alignment horizontal="right" vertical="center"/>
    </xf>
    <xf numFmtId="38" fontId="33" fillId="0" borderId="40" xfId="49" applyFont="1" applyFill="1" applyBorder="1" applyAlignment="1">
      <alignment horizontal="right" vertical="center"/>
    </xf>
    <xf numFmtId="38" fontId="33" fillId="0" borderId="43" xfId="49" applyFont="1" applyFill="1" applyBorder="1" applyAlignment="1">
      <alignment horizontal="right" vertical="center"/>
    </xf>
    <xf numFmtId="38" fontId="33" fillId="0" borderId="43" xfId="49" applyFont="1" applyFill="1" applyBorder="1" applyAlignment="1">
      <alignment vertical="center"/>
    </xf>
    <xf numFmtId="9" fontId="33" fillId="33" borderId="116" xfId="0" applyNumberFormat="1" applyFont="1" applyFill="1" applyBorder="1" applyAlignment="1">
      <alignment vertical="center" shrinkToFit="1"/>
    </xf>
    <xf numFmtId="9" fontId="33" fillId="33" borderId="39" xfId="0" applyNumberFormat="1" applyFont="1" applyFill="1" applyBorder="1" applyAlignment="1">
      <alignment vertical="center" shrinkToFit="1"/>
    </xf>
    <xf numFmtId="9" fontId="33" fillId="33" borderId="117" xfId="0" applyNumberFormat="1" applyFont="1" applyFill="1" applyBorder="1" applyAlignment="1">
      <alignment vertical="center" shrinkToFit="1"/>
    </xf>
    <xf numFmtId="0" fontId="28" fillId="0" borderId="96" xfId="0" applyFont="1" applyBorder="1" applyAlignment="1">
      <alignment horizontal="center" vertical="center"/>
    </xf>
    <xf numFmtId="183" fontId="33" fillId="0" borderId="34" xfId="0" applyNumberFormat="1" applyFont="1" applyFill="1" applyBorder="1" applyAlignment="1">
      <alignment horizontal="center" vertical="center" shrinkToFit="1"/>
    </xf>
    <xf numFmtId="0" fontId="10" fillId="0" borderId="34" xfId="0" applyFont="1" applyFill="1" applyBorder="1" applyAlignment="1">
      <alignment horizontal="center" vertical="center" shrinkToFit="1"/>
    </xf>
    <xf numFmtId="183" fontId="32" fillId="0" borderId="65" xfId="49" applyNumberFormat="1" applyFont="1" applyFill="1" applyBorder="1" applyAlignment="1">
      <alignment horizontal="center" vertical="center" shrinkToFit="1"/>
    </xf>
    <xf numFmtId="183" fontId="32" fillId="0" borderId="40" xfId="49" applyNumberFormat="1" applyFont="1" applyFill="1" applyBorder="1" applyAlignment="1">
      <alignment horizontal="center" vertical="center" shrinkToFit="1"/>
    </xf>
    <xf numFmtId="0" fontId="10" fillId="0" borderId="51" xfId="0" applyFont="1" applyFill="1" applyBorder="1" applyAlignment="1">
      <alignment horizontal="center" vertical="center"/>
    </xf>
    <xf numFmtId="183" fontId="32" fillId="0" borderId="51" xfId="49" applyNumberFormat="1" applyFont="1" applyFill="1" applyBorder="1" applyAlignment="1">
      <alignment horizontal="center" vertical="center" shrinkToFit="1"/>
    </xf>
    <xf numFmtId="183" fontId="33" fillId="0" borderId="65" xfId="0" applyNumberFormat="1" applyFont="1" applyFill="1" applyBorder="1" applyAlignment="1">
      <alignment horizontal="center" vertical="center" shrinkToFit="1"/>
    </xf>
    <xf numFmtId="183" fontId="33" fillId="0" borderId="46" xfId="0" applyNumberFormat="1" applyFont="1" applyFill="1" applyBorder="1" applyAlignment="1">
      <alignment horizontal="center" vertical="center" shrinkToFit="1"/>
    </xf>
    <xf numFmtId="182" fontId="33" fillId="0" borderId="46" xfId="0" applyNumberFormat="1" applyFont="1" applyFill="1" applyBorder="1" applyAlignment="1">
      <alignment horizontal="center" vertical="center" shrinkToFit="1"/>
    </xf>
    <xf numFmtId="0" fontId="10" fillId="0" borderId="46" xfId="0" applyFont="1" applyFill="1" applyBorder="1" applyAlignment="1">
      <alignment horizontal="center" vertical="center"/>
    </xf>
    <xf numFmtId="0" fontId="10" fillId="28" borderId="40" xfId="0" applyFont="1" applyFill="1" applyBorder="1" applyAlignment="1">
      <alignment horizontal="center" vertical="center"/>
    </xf>
    <xf numFmtId="182" fontId="10" fillId="0" borderId="110" xfId="0" applyNumberFormat="1" applyFont="1" applyFill="1" applyBorder="1" applyAlignment="1">
      <alignment horizontal="center" vertical="center" shrinkToFit="1"/>
    </xf>
    <xf numFmtId="182" fontId="33" fillId="0" borderId="37" xfId="0" applyNumberFormat="1" applyFont="1" applyFill="1" applyBorder="1" applyAlignment="1">
      <alignment horizontal="center" vertical="center" shrinkToFit="1"/>
    </xf>
    <xf numFmtId="182" fontId="33" fillId="0" borderId="40" xfId="0" applyNumberFormat="1" applyFont="1" applyFill="1" applyBorder="1" applyAlignment="1">
      <alignment horizontal="center" vertical="center" shrinkToFit="1"/>
    </xf>
    <xf numFmtId="0" fontId="10" fillId="28" borderId="37" xfId="0" applyFont="1" applyFill="1" applyBorder="1" applyAlignment="1">
      <alignment horizontal="center" vertical="center"/>
    </xf>
    <xf numFmtId="182" fontId="33" fillId="0" borderId="43" xfId="0" applyNumberFormat="1" applyFont="1" applyFill="1" applyBorder="1" applyAlignment="1">
      <alignment horizontal="center" vertical="center" shrinkToFit="1"/>
    </xf>
    <xf numFmtId="0" fontId="10" fillId="28" borderId="65"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34" xfId="0" applyFont="1" applyFill="1" applyBorder="1" applyAlignment="1">
      <alignment horizontal="center" vertical="center"/>
    </xf>
    <xf numFmtId="183" fontId="32" fillId="0" borderId="59" xfId="49" applyNumberFormat="1" applyFont="1" applyFill="1" applyBorder="1" applyAlignment="1">
      <alignment horizontal="center" vertical="center"/>
    </xf>
    <xf numFmtId="183" fontId="32" fillId="0" borderId="65" xfId="49" applyNumberFormat="1" applyFont="1" applyFill="1" applyBorder="1" applyAlignment="1">
      <alignment horizontal="center" vertical="center"/>
    </xf>
    <xf numFmtId="183" fontId="32" fillId="0" borderId="39" xfId="49" applyNumberFormat="1" applyFont="1" applyFill="1" applyBorder="1" applyAlignment="1">
      <alignment horizontal="center" vertical="center"/>
    </xf>
    <xf numFmtId="183" fontId="32" fillId="0" borderId="40" xfId="49" applyNumberFormat="1" applyFont="1" applyFill="1" applyBorder="1" applyAlignment="1">
      <alignment horizontal="center" vertical="center"/>
    </xf>
    <xf numFmtId="183" fontId="32" fillId="0" borderId="51" xfId="49" applyNumberFormat="1" applyFont="1" applyFill="1" applyBorder="1" applyAlignment="1">
      <alignment horizontal="center" vertical="center"/>
    </xf>
    <xf numFmtId="183" fontId="33" fillId="0" borderId="65" xfId="0" applyNumberFormat="1" applyFont="1" applyFill="1" applyBorder="1" applyAlignment="1">
      <alignment horizontal="center" vertical="center"/>
    </xf>
    <xf numFmtId="183" fontId="32" fillId="0" borderId="53" xfId="49" applyNumberFormat="1" applyFont="1" applyFill="1" applyBorder="1" applyAlignment="1">
      <alignment horizontal="center" vertical="center"/>
    </xf>
    <xf numFmtId="183" fontId="33" fillId="0" borderId="34" xfId="0" applyNumberFormat="1" applyFont="1" applyFill="1" applyBorder="1" applyAlignment="1">
      <alignment horizontal="center" vertical="center"/>
    </xf>
    <xf numFmtId="183" fontId="33" fillId="0" borderId="58" xfId="0" applyNumberFormat="1" applyFont="1" applyFill="1" applyBorder="1" applyAlignment="1">
      <alignment horizontal="center" vertical="center"/>
    </xf>
    <xf numFmtId="183" fontId="33" fillId="0" borderId="59" xfId="0" applyNumberFormat="1" applyFont="1" applyFill="1" applyBorder="1" applyAlignment="1">
      <alignment horizontal="center" vertical="center"/>
    </xf>
    <xf numFmtId="183" fontId="33" fillId="0" borderId="46" xfId="0" applyNumberFormat="1" applyFont="1" applyFill="1" applyBorder="1" applyAlignment="1">
      <alignment horizontal="center" vertical="center"/>
    </xf>
    <xf numFmtId="183" fontId="33" fillId="0" borderId="45" xfId="0" applyNumberFormat="1" applyFont="1" applyFill="1" applyBorder="1" applyAlignment="1">
      <alignment horizontal="center" vertical="center"/>
    </xf>
    <xf numFmtId="182" fontId="33" fillId="0" borderId="65" xfId="0" applyNumberFormat="1" applyFont="1" applyFill="1" applyBorder="1" applyAlignment="1">
      <alignment horizontal="center" vertical="center"/>
    </xf>
    <xf numFmtId="182" fontId="33" fillId="0" borderId="34" xfId="0" applyNumberFormat="1" applyFont="1" applyFill="1" applyBorder="1" applyAlignment="1">
      <alignment horizontal="center" vertical="center"/>
    </xf>
    <xf numFmtId="182" fontId="33" fillId="0" borderId="59" xfId="0" applyNumberFormat="1" applyFont="1" applyFill="1" applyBorder="1" applyAlignment="1">
      <alignment horizontal="center" vertical="center"/>
    </xf>
    <xf numFmtId="182" fontId="33" fillId="0" borderId="58" xfId="0" applyNumberFormat="1" applyFont="1" applyFill="1" applyBorder="1" applyAlignment="1">
      <alignment horizontal="center" vertical="center"/>
    </xf>
    <xf numFmtId="182" fontId="33" fillId="0" borderId="40" xfId="0" applyNumberFormat="1" applyFont="1" applyFill="1" applyBorder="1" applyAlignment="1">
      <alignment horizontal="center" vertical="center"/>
    </xf>
    <xf numFmtId="182" fontId="33" fillId="0" borderId="39" xfId="0" applyNumberFormat="1" applyFont="1" applyFill="1" applyBorder="1" applyAlignment="1">
      <alignment horizontal="center" vertical="center"/>
    </xf>
    <xf numFmtId="182" fontId="33" fillId="0" borderId="51" xfId="0" applyNumberFormat="1" applyFont="1" applyFill="1" applyBorder="1" applyAlignment="1">
      <alignment horizontal="center" vertical="center"/>
    </xf>
    <xf numFmtId="182" fontId="33" fillId="0" borderId="53" xfId="0" applyNumberFormat="1" applyFont="1" applyFill="1" applyBorder="1" applyAlignment="1">
      <alignment horizontal="center" vertical="center"/>
    </xf>
    <xf numFmtId="182" fontId="33" fillId="0" borderId="46" xfId="0" applyNumberFormat="1" applyFont="1" applyFill="1" applyBorder="1" applyAlignment="1">
      <alignment horizontal="center" vertical="center"/>
    </xf>
    <xf numFmtId="182" fontId="33" fillId="0" borderId="45" xfId="0" applyNumberFormat="1" applyFont="1" applyFill="1" applyBorder="1" applyAlignment="1">
      <alignment horizontal="center" vertical="center"/>
    </xf>
    <xf numFmtId="182" fontId="33" fillId="0" borderId="36" xfId="0" applyNumberFormat="1" applyFont="1" applyFill="1" applyBorder="1" applyAlignment="1">
      <alignment horizontal="center" vertical="center"/>
    </xf>
    <xf numFmtId="182" fontId="33" fillId="0" borderId="37" xfId="0" applyNumberFormat="1" applyFont="1" applyFill="1" applyBorder="1" applyAlignment="1">
      <alignment horizontal="center" vertical="center"/>
    </xf>
    <xf numFmtId="182" fontId="33" fillId="0" borderId="43" xfId="0" applyNumberFormat="1" applyFont="1" applyFill="1" applyBorder="1" applyAlignment="1">
      <alignment horizontal="center" vertical="center"/>
    </xf>
    <xf numFmtId="182" fontId="33" fillId="0" borderId="117" xfId="0" applyNumberFormat="1" applyFont="1" applyFill="1" applyBorder="1" applyAlignment="1">
      <alignment horizontal="center" vertical="center"/>
    </xf>
    <xf numFmtId="38" fontId="32" fillId="0" borderId="11" xfId="49" applyFont="1" applyFill="1" applyBorder="1" applyAlignment="1">
      <alignment horizontal="right" vertical="center"/>
    </xf>
    <xf numFmtId="38" fontId="32" fillId="0" borderId="11" xfId="49" applyFont="1" applyFill="1" applyBorder="1" applyAlignment="1">
      <alignment horizontal="right"/>
    </xf>
    <xf numFmtId="183" fontId="32" fillId="0" borderId="71" xfId="49" applyNumberFormat="1" applyFont="1" applyFill="1" applyBorder="1" applyAlignment="1">
      <alignment horizontal="center" vertical="center" shrinkToFit="1"/>
    </xf>
    <xf numFmtId="183" fontId="32" fillId="0" borderId="72" xfId="49" applyNumberFormat="1" applyFont="1" applyFill="1" applyBorder="1" applyAlignment="1">
      <alignment horizontal="center" vertical="center" shrinkToFit="1"/>
    </xf>
    <xf numFmtId="183" fontId="32" fillId="0" borderId="69" xfId="49" applyNumberFormat="1" applyFont="1" applyFill="1" applyBorder="1" applyAlignment="1">
      <alignment horizontal="center" vertical="center" shrinkToFit="1"/>
    </xf>
    <xf numFmtId="183" fontId="33" fillId="0" borderId="66" xfId="0" applyNumberFormat="1" applyFont="1" applyFill="1" applyBorder="1" applyAlignment="1">
      <alignment horizontal="center" vertical="center" shrinkToFit="1"/>
    </xf>
    <xf numFmtId="183" fontId="33" fillId="0" borderId="71" xfId="0" applyNumberFormat="1" applyFont="1" applyFill="1" applyBorder="1" applyAlignment="1">
      <alignment horizontal="center" vertical="center" shrinkToFit="1"/>
    </xf>
    <xf numFmtId="183" fontId="33" fillId="0" borderId="69" xfId="0" applyNumberFormat="1" applyFont="1" applyFill="1" applyBorder="1" applyAlignment="1">
      <alignment horizontal="center" vertical="center" shrinkToFit="1"/>
    </xf>
    <xf numFmtId="182" fontId="10" fillId="0" borderId="66" xfId="0" applyNumberFormat="1" applyFont="1" applyFill="1" applyBorder="1" applyAlignment="1">
      <alignment horizontal="center" vertical="center" shrinkToFit="1"/>
    </xf>
    <xf numFmtId="182" fontId="33" fillId="0" borderId="71" xfId="0" applyNumberFormat="1" applyFont="1" applyFill="1" applyBorder="1" applyAlignment="1">
      <alignment horizontal="center" vertical="center" shrinkToFit="1"/>
    </xf>
    <xf numFmtId="182" fontId="33" fillId="0" borderId="72" xfId="0" applyNumberFormat="1" applyFont="1" applyFill="1" applyBorder="1" applyAlignment="1">
      <alignment horizontal="center" vertical="center" shrinkToFit="1"/>
    </xf>
    <xf numFmtId="182" fontId="33" fillId="0" borderId="69" xfId="0" applyNumberFormat="1" applyFont="1" applyFill="1" applyBorder="1" applyAlignment="1">
      <alignment horizontal="center" vertical="center" shrinkToFit="1"/>
    </xf>
    <xf numFmtId="182" fontId="33" fillId="0" borderId="66" xfId="0" applyNumberFormat="1" applyFont="1" applyFill="1" applyBorder="1" applyAlignment="1">
      <alignment horizontal="center" vertical="center" shrinkToFit="1"/>
    </xf>
    <xf numFmtId="38" fontId="32" fillId="33" borderId="118" xfId="49" applyFont="1" applyFill="1" applyBorder="1" applyAlignment="1">
      <alignment horizontal="right"/>
    </xf>
    <xf numFmtId="38" fontId="32" fillId="0" borderId="118" xfId="49" applyFont="1" applyFill="1" applyBorder="1" applyAlignment="1">
      <alignment horizontal="right"/>
    </xf>
    <xf numFmtId="38" fontId="32" fillId="0" borderId="119" xfId="49" applyFont="1" applyFill="1" applyBorder="1" applyAlignment="1">
      <alignment horizontal="right"/>
    </xf>
    <xf numFmtId="0" fontId="32" fillId="33" borderId="118" xfId="49" applyNumberFormat="1" applyFont="1" applyFill="1" applyBorder="1" applyAlignment="1">
      <alignment horizontal="right"/>
    </xf>
    <xf numFmtId="38" fontId="32" fillId="33" borderId="119" xfId="49" applyFont="1" applyFill="1" applyBorder="1" applyAlignment="1">
      <alignment horizontal="right"/>
    </xf>
    <xf numFmtId="38" fontId="32" fillId="33" borderId="26" xfId="49" applyFont="1" applyFill="1" applyBorder="1" applyAlignment="1">
      <alignment vertical="center"/>
    </xf>
    <xf numFmtId="194" fontId="33" fillId="33" borderId="26" xfId="49" applyNumberFormat="1" applyFont="1" applyFill="1" applyBorder="1" applyAlignment="1">
      <alignment vertical="center"/>
    </xf>
    <xf numFmtId="38" fontId="3" fillId="0" borderId="120" xfId="49" applyFont="1" applyFill="1" applyBorder="1" applyAlignment="1">
      <alignment horizontal="center"/>
    </xf>
    <xf numFmtId="0" fontId="32" fillId="0" borderId="15" xfId="49" applyNumberFormat="1" applyFont="1" applyFill="1" applyBorder="1" applyAlignment="1">
      <alignment horizontal="right"/>
    </xf>
    <xf numFmtId="0" fontId="32" fillId="0" borderId="16" xfId="49" applyNumberFormat="1" applyFont="1" applyFill="1" applyBorder="1" applyAlignment="1">
      <alignment horizontal="right"/>
    </xf>
    <xf numFmtId="38" fontId="3" fillId="0" borderId="12" xfId="49" applyFont="1" applyFill="1" applyBorder="1" applyAlignment="1">
      <alignment/>
    </xf>
    <xf numFmtId="38" fontId="3" fillId="0" borderId="11" xfId="49" applyFont="1" applyFill="1" applyBorder="1" applyAlignment="1">
      <alignment/>
    </xf>
    <xf numFmtId="38" fontId="3" fillId="0" borderId="121" xfId="49" applyFont="1" applyFill="1" applyBorder="1" applyAlignment="1">
      <alignment/>
    </xf>
    <xf numFmtId="38" fontId="32" fillId="33" borderId="28" xfId="49" applyFont="1" applyFill="1" applyBorder="1" applyAlignment="1">
      <alignment vertical="center"/>
    </xf>
    <xf numFmtId="194" fontId="33" fillId="33" borderId="102" xfId="49" applyNumberFormat="1" applyFont="1" applyFill="1" applyBorder="1" applyAlignment="1">
      <alignment vertical="center"/>
    </xf>
    <xf numFmtId="0" fontId="32" fillId="0" borderId="90" xfId="49" applyNumberFormat="1" applyFont="1" applyFill="1" applyBorder="1" applyAlignment="1">
      <alignment horizontal="right"/>
    </xf>
    <xf numFmtId="0" fontId="32" fillId="0" borderId="122" xfId="49" applyNumberFormat="1" applyFont="1" applyFill="1" applyBorder="1" applyAlignment="1">
      <alignment horizontal="right"/>
    </xf>
    <xf numFmtId="38" fontId="32" fillId="33" borderId="123" xfId="49" applyFont="1" applyFill="1" applyBorder="1" applyAlignment="1">
      <alignment vertical="center"/>
    </xf>
    <xf numFmtId="194" fontId="33" fillId="33" borderId="124" xfId="49" applyNumberFormat="1" applyFont="1" applyFill="1" applyBorder="1" applyAlignment="1">
      <alignment vertical="center"/>
    </xf>
    <xf numFmtId="38" fontId="32" fillId="0" borderId="15" xfId="49" applyFont="1" applyFill="1" applyBorder="1" applyAlignment="1">
      <alignment/>
    </xf>
    <xf numFmtId="0" fontId="32" fillId="0" borderId="123" xfId="49" applyNumberFormat="1" applyFont="1" applyFill="1" applyBorder="1" applyAlignment="1">
      <alignment horizontal="right"/>
    </xf>
    <xf numFmtId="38" fontId="32" fillId="0" borderId="123" xfId="49" applyFont="1" applyFill="1" applyBorder="1" applyAlignment="1">
      <alignment horizontal="right"/>
    </xf>
    <xf numFmtId="38" fontId="32" fillId="0" borderId="28" xfId="49" applyFont="1" applyFill="1" applyBorder="1" applyAlignment="1">
      <alignment horizontal="right"/>
    </xf>
    <xf numFmtId="38" fontId="3" fillId="0" borderId="80" xfId="49" applyFont="1" applyFill="1" applyBorder="1" applyAlignment="1">
      <alignment horizontal="distributed"/>
    </xf>
    <xf numFmtId="0" fontId="32" fillId="33" borderId="28" xfId="49" applyNumberFormat="1" applyFont="1" applyFill="1" applyBorder="1" applyAlignment="1">
      <alignment horizontal="right"/>
    </xf>
    <xf numFmtId="38" fontId="3" fillId="0" borderId="15" xfId="49" applyFont="1" applyFill="1" applyBorder="1" applyAlignment="1">
      <alignment horizontal="distributed"/>
    </xf>
    <xf numFmtId="38" fontId="32" fillId="0" borderId="26" xfId="49" applyFont="1" applyFill="1" applyBorder="1" applyAlignment="1">
      <alignment horizontal="right"/>
    </xf>
    <xf numFmtId="38" fontId="32" fillId="0" borderId="31" xfId="49" applyFont="1" applyFill="1" applyBorder="1" applyAlignment="1">
      <alignment horizontal="right"/>
    </xf>
    <xf numFmtId="38" fontId="3" fillId="0" borderId="30" xfId="49" applyFont="1" applyFill="1" applyBorder="1" applyAlignment="1">
      <alignment horizontal="distributed"/>
    </xf>
    <xf numFmtId="38" fontId="3" fillId="0" borderId="119" xfId="49" applyFont="1" applyFill="1" applyBorder="1" applyAlignment="1">
      <alignment horizontal="distributed"/>
    </xf>
    <xf numFmtId="38" fontId="3" fillId="0" borderId="119" xfId="49" applyFont="1" applyFill="1" applyBorder="1" applyAlignment="1">
      <alignment horizontal="distributed"/>
    </xf>
    <xf numFmtId="38" fontId="3" fillId="0" borderId="30" xfId="49" applyFont="1" applyFill="1" applyBorder="1" applyAlignment="1">
      <alignment horizontal="distributed"/>
    </xf>
    <xf numFmtId="0" fontId="32" fillId="0" borderId="31" xfId="49" applyNumberFormat="1" applyFont="1" applyFill="1" applyBorder="1" applyAlignment="1">
      <alignment horizontal="right"/>
    </xf>
    <xf numFmtId="38" fontId="32" fillId="0" borderId="124" xfId="49" applyFont="1" applyFill="1" applyBorder="1" applyAlignment="1">
      <alignment horizontal="right"/>
    </xf>
    <xf numFmtId="38" fontId="32" fillId="0" borderId="102" xfId="49" applyFont="1" applyFill="1" applyBorder="1" applyAlignment="1">
      <alignment horizontal="right"/>
    </xf>
    <xf numFmtId="38" fontId="3" fillId="0" borderId="124" xfId="49" applyFont="1" applyFill="1" applyBorder="1" applyAlignment="1">
      <alignment/>
    </xf>
    <xf numFmtId="38" fontId="32" fillId="0" borderId="31" xfId="49" applyFont="1" applyFill="1" applyBorder="1" applyAlignment="1">
      <alignment horizontal="right" vertical="center"/>
    </xf>
    <xf numFmtId="38" fontId="32" fillId="0" borderId="123" xfId="49" applyFont="1" applyFill="1" applyBorder="1" applyAlignment="1">
      <alignment horizontal="right" vertical="center"/>
    </xf>
    <xf numFmtId="38" fontId="3" fillId="0" borderId="125" xfId="49" applyFont="1" applyFill="1" applyBorder="1" applyAlignment="1">
      <alignment horizontal="distributed"/>
    </xf>
    <xf numFmtId="38" fontId="3" fillId="0" borderId="30" xfId="49" applyFont="1" applyFill="1" applyBorder="1" applyAlignment="1">
      <alignment horizontal="distributed" vertical="center"/>
    </xf>
    <xf numFmtId="38" fontId="3" fillId="0" borderId="30" xfId="49" applyFont="1" applyFill="1" applyBorder="1" applyAlignment="1">
      <alignment horizontal="center" vertical="center" shrinkToFit="1"/>
    </xf>
    <xf numFmtId="194" fontId="33" fillId="0" borderId="31" xfId="49" applyNumberFormat="1" applyFont="1" applyFill="1" applyBorder="1" applyAlignment="1">
      <alignment horizontal="right"/>
    </xf>
    <xf numFmtId="194" fontId="33" fillId="0" borderId="26" xfId="49" applyNumberFormat="1" applyFont="1" applyFill="1" applyBorder="1" applyAlignment="1">
      <alignment horizontal="right"/>
    </xf>
    <xf numFmtId="194" fontId="33" fillId="0" borderId="31" xfId="49" applyNumberFormat="1" applyFont="1" applyFill="1" applyBorder="1" applyAlignment="1">
      <alignment horizontal="right" vertical="center"/>
    </xf>
    <xf numFmtId="194" fontId="33" fillId="0" borderId="102" xfId="49" applyNumberFormat="1" applyFont="1" applyFill="1" applyBorder="1" applyAlignment="1">
      <alignment horizontal="right"/>
    </xf>
    <xf numFmtId="38" fontId="3" fillId="0" borderId="0" xfId="49" applyFont="1" applyFill="1" applyBorder="1" applyAlignment="1">
      <alignment/>
    </xf>
    <xf numFmtId="38" fontId="32" fillId="0" borderId="20" xfId="49" applyFont="1" applyFill="1" applyBorder="1" applyAlignment="1">
      <alignment vertical="top"/>
    </xf>
    <xf numFmtId="194" fontId="33" fillId="0" borderId="124" xfId="49" applyNumberFormat="1" applyFont="1" applyFill="1" applyBorder="1" applyAlignment="1">
      <alignment horizontal="right" vertical="center"/>
    </xf>
    <xf numFmtId="38" fontId="3" fillId="0" borderId="126" xfId="49" applyFont="1" applyFill="1" applyBorder="1" applyAlignment="1">
      <alignment horizontal="distributed" vertical="center"/>
    </xf>
    <xf numFmtId="38" fontId="32" fillId="0" borderId="20" xfId="49" applyFont="1" applyFill="1" applyBorder="1" applyAlignment="1">
      <alignment horizontal="right" vertical="top"/>
    </xf>
    <xf numFmtId="38" fontId="32" fillId="0" borderId="20" xfId="49" applyFont="1" applyFill="1" applyBorder="1" applyAlignment="1">
      <alignment/>
    </xf>
    <xf numFmtId="194" fontId="33" fillId="0" borderId="124" xfId="49" applyNumberFormat="1" applyFont="1" applyFill="1" applyBorder="1" applyAlignment="1">
      <alignment horizontal="right"/>
    </xf>
    <xf numFmtId="0" fontId="99" fillId="0" borderId="112" xfId="0" applyFont="1" applyFill="1" applyBorder="1" applyAlignment="1">
      <alignment horizontal="center" vertical="center"/>
    </xf>
    <xf numFmtId="0" fontId="99" fillId="0" borderId="87" xfId="0" applyFont="1" applyFill="1" applyBorder="1" applyAlignment="1">
      <alignment horizontal="center" vertical="center"/>
    </xf>
    <xf numFmtId="0" fontId="99" fillId="0" borderId="127" xfId="0" applyFont="1" applyFill="1" applyBorder="1" applyAlignment="1">
      <alignment horizontal="center" vertical="center"/>
    </xf>
    <xf numFmtId="38" fontId="3" fillId="0" borderId="0" xfId="49" applyFont="1" applyFill="1" applyBorder="1" applyAlignment="1">
      <alignment horizontal="center"/>
    </xf>
    <xf numFmtId="41" fontId="0" fillId="0" borderId="80" xfId="49" applyNumberFormat="1" applyFont="1" applyFill="1" applyBorder="1" applyAlignment="1">
      <alignment horizontal="center" vertical="center" shrinkToFit="1"/>
    </xf>
    <xf numFmtId="41" fontId="0" fillId="0" borderId="30" xfId="49" applyNumberFormat="1" applyFont="1" applyFill="1" applyBorder="1" applyAlignment="1">
      <alignment horizontal="center" vertical="center" shrinkToFit="1"/>
    </xf>
    <xf numFmtId="41" fontId="0" fillId="0" borderId="126" xfId="49" applyNumberFormat="1" applyFont="1" applyFill="1" applyBorder="1" applyAlignment="1">
      <alignment horizontal="center" vertical="center" shrinkToFit="1"/>
    </xf>
    <xf numFmtId="38" fontId="0" fillId="0" borderId="11" xfId="49" applyFont="1" applyFill="1" applyBorder="1" applyAlignment="1">
      <alignment vertical="center"/>
    </xf>
    <xf numFmtId="0" fontId="31" fillId="0" borderId="128" xfId="0" applyFont="1" applyBorder="1" applyAlignment="1">
      <alignment horizontal="center" vertical="center"/>
    </xf>
    <xf numFmtId="0" fontId="31" fillId="0" borderId="129" xfId="0" applyFont="1" applyBorder="1" applyAlignment="1">
      <alignment horizontal="center"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32" fillId="0" borderId="30" xfId="49" applyNumberFormat="1" applyFont="1" applyBorder="1" applyAlignment="1">
      <alignment vertical="center" shrinkToFit="1"/>
    </xf>
    <xf numFmtId="0" fontId="0" fillId="0" borderId="55" xfId="0" applyFont="1" applyBorder="1" applyAlignment="1">
      <alignment horizontal="center" vertical="center"/>
    </xf>
    <xf numFmtId="0" fontId="0" fillId="0" borderId="41" xfId="0" applyFont="1" applyBorder="1" applyAlignment="1">
      <alignment horizontal="left" vertical="center" wrapText="1"/>
    </xf>
    <xf numFmtId="0" fontId="0" fillId="0" borderId="5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66" xfId="0" applyFont="1" applyFill="1" applyBorder="1" applyAlignment="1">
      <alignment horizontal="center" vertical="center" shrinkToFit="1"/>
    </xf>
    <xf numFmtId="0" fontId="1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46" xfId="0" applyFont="1" applyFill="1" applyBorder="1" applyAlignment="1">
      <alignment horizontal="center" vertical="center"/>
    </xf>
    <xf numFmtId="190" fontId="32" fillId="0" borderId="54" xfId="0" applyNumberFormat="1" applyFont="1" applyFill="1" applyBorder="1" applyAlignment="1">
      <alignment vertical="center" shrinkToFit="1"/>
    </xf>
    <xf numFmtId="0" fontId="0" fillId="0" borderId="55" xfId="0" applyFont="1" applyBorder="1" applyAlignment="1">
      <alignment vertical="center"/>
    </xf>
    <xf numFmtId="190" fontId="32" fillId="0" borderId="41" xfId="0" applyNumberFormat="1" applyFont="1" applyFill="1" applyBorder="1" applyAlignment="1">
      <alignment vertical="center" shrinkToFit="1"/>
    </xf>
    <xf numFmtId="183" fontId="0" fillId="0" borderId="0" xfId="49" applyNumberFormat="1" applyFont="1" applyFill="1" applyBorder="1" applyAlignment="1">
      <alignment horizontal="center" vertical="center" shrinkToFit="1"/>
    </xf>
    <xf numFmtId="181" fontId="10" fillId="0" borderId="0" xfId="0" applyNumberFormat="1" applyFont="1" applyFill="1" applyBorder="1" applyAlignment="1">
      <alignment horizontal="center" vertical="center" shrinkToFit="1"/>
    </xf>
    <xf numFmtId="190" fontId="33" fillId="0" borderId="34" xfId="0" applyNumberFormat="1" applyFont="1" applyBorder="1" applyAlignment="1">
      <alignment vertical="center" shrinkToFit="1"/>
    </xf>
    <xf numFmtId="190" fontId="33" fillId="0" borderId="34" xfId="0" applyNumberFormat="1" applyFont="1" applyBorder="1" applyAlignment="1">
      <alignment vertical="center"/>
    </xf>
    <xf numFmtId="190" fontId="32" fillId="0" borderId="34" xfId="0" applyNumberFormat="1" applyFont="1" applyBorder="1" applyAlignment="1">
      <alignment vertical="center"/>
    </xf>
    <xf numFmtId="0" fontId="0" fillId="0" borderId="35" xfId="0" applyFont="1" applyBorder="1" applyAlignment="1">
      <alignment vertical="center"/>
    </xf>
    <xf numFmtId="190" fontId="32" fillId="0" borderId="42" xfId="0" applyNumberFormat="1" applyFont="1" applyFill="1" applyBorder="1" applyAlignment="1">
      <alignment vertical="center" shrinkToFit="1"/>
    </xf>
    <xf numFmtId="190" fontId="32" fillId="0" borderId="57" xfId="0" applyNumberFormat="1" applyFont="1" applyFill="1" applyBorder="1" applyAlignment="1">
      <alignment vertical="center" shrinkToFit="1"/>
    </xf>
    <xf numFmtId="190" fontId="32" fillId="28" borderId="38" xfId="0" applyNumberFormat="1" applyFont="1" applyFill="1" applyBorder="1" applyAlignment="1">
      <alignment vertical="center" shrinkToFit="1"/>
    </xf>
    <xf numFmtId="38" fontId="23" fillId="0" borderId="30" xfId="49" applyFont="1" applyBorder="1" applyAlignment="1">
      <alignment horizontal="left" vertical="center" wrapText="1"/>
    </xf>
    <xf numFmtId="0" fontId="33" fillId="0" borderId="40" xfId="0" applyFont="1" applyBorder="1" applyAlignment="1">
      <alignment horizontal="center" vertical="center" wrapText="1"/>
    </xf>
    <xf numFmtId="0" fontId="5" fillId="0" borderId="40" xfId="0" applyFont="1" applyFill="1" applyBorder="1" applyAlignment="1">
      <alignment/>
    </xf>
    <xf numFmtId="38" fontId="5" fillId="0" borderId="40" xfId="0" applyNumberFormat="1" applyFont="1" applyFill="1" applyBorder="1" applyAlignment="1">
      <alignment horizontal="center" vertical="center"/>
    </xf>
    <xf numFmtId="0" fontId="5" fillId="0" borderId="40" xfId="0" applyFont="1" applyFill="1" applyBorder="1" applyAlignment="1">
      <alignment horizontal="distributed" vertical="center"/>
    </xf>
    <xf numFmtId="182" fontId="8" fillId="0" borderId="40" xfId="0" applyNumberFormat="1" applyFont="1" applyFill="1" applyBorder="1" applyAlignment="1">
      <alignment horizontal="right" vertical="center"/>
    </xf>
    <xf numFmtId="0" fontId="32" fillId="0" borderId="40" xfId="0" applyNumberFormat="1" applyFont="1" applyFill="1" applyBorder="1" applyAlignment="1">
      <alignment horizontal="right"/>
    </xf>
    <xf numFmtId="0" fontId="32" fillId="0" borderId="40" xfId="49" applyNumberFormat="1" applyFont="1" applyFill="1" applyBorder="1" applyAlignment="1">
      <alignment horizontal="right"/>
    </xf>
    <xf numFmtId="38" fontId="33" fillId="0" borderId="48" xfId="49" applyFont="1" applyFill="1" applyBorder="1" applyAlignment="1">
      <alignment horizontal="right" vertical="center"/>
    </xf>
    <xf numFmtId="38" fontId="33" fillId="0" borderId="41" xfId="49" applyFont="1" applyFill="1" applyBorder="1" applyAlignment="1">
      <alignment horizontal="right" vertical="center"/>
    </xf>
    <xf numFmtId="38" fontId="33" fillId="33" borderId="49" xfId="49" applyFont="1" applyFill="1" applyBorder="1" applyAlignment="1">
      <alignment horizontal="right" vertical="center"/>
    </xf>
    <xf numFmtId="38" fontId="33" fillId="33" borderId="46" xfId="49" applyFont="1" applyFill="1" applyBorder="1" applyAlignment="1">
      <alignment horizontal="right" vertical="center"/>
    </xf>
    <xf numFmtId="38" fontId="33" fillId="33" borderId="42" xfId="49" applyFont="1" applyFill="1" applyBorder="1" applyAlignment="1">
      <alignment horizontal="right" vertical="center"/>
    </xf>
    <xf numFmtId="0" fontId="100" fillId="0" borderId="0"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0" fillId="0" borderId="131" xfId="0" applyFont="1" applyFill="1" applyBorder="1" applyAlignment="1">
      <alignment vertical="center" wrapText="1"/>
    </xf>
    <xf numFmtId="0" fontId="100" fillId="0" borderId="132" xfId="0" applyFont="1" applyFill="1" applyBorder="1" applyAlignment="1">
      <alignment vertical="center" wrapText="1"/>
    </xf>
    <xf numFmtId="0" fontId="100" fillId="0" borderId="0" xfId="0" applyFont="1" applyFill="1" applyBorder="1" applyAlignment="1">
      <alignment vertical="center" wrapText="1"/>
    </xf>
    <xf numFmtId="0" fontId="48" fillId="0" borderId="0" xfId="0" applyFont="1" applyFill="1" applyBorder="1" applyAlignment="1">
      <alignment vertical="center"/>
    </xf>
    <xf numFmtId="0" fontId="48" fillId="0" borderId="133" xfId="0" applyFont="1" applyFill="1" applyBorder="1" applyAlignment="1">
      <alignment vertical="center" shrinkToFit="1"/>
    </xf>
    <xf numFmtId="0" fontId="48" fillId="0" borderId="15" xfId="0" applyFont="1" applyFill="1" applyBorder="1" applyAlignment="1">
      <alignment vertical="center" shrinkToFit="1"/>
    </xf>
    <xf numFmtId="0" fontId="48" fillId="0" borderId="16" xfId="0" applyFont="1" applyFill="1" applyBorder="1" applyAlignment="1">
      <alignment vertical="center" shrinkToFit="1"/>
    </xf>
    <xf numFmtId="0" fontId="100" fillId="0" borderId="134" xfId="0" applyFont="1" applyFill="1" applyBorder="1" applyAlignment="1">
      <alignment horizontal="left" vertical="center"/>
    </xf>
    <xf numFmtId="0" fontId="100" fillId="0" borderId="135" xfId="0" applyFont="1" applyFill="1" applyBorder="1" applyAlignment="1">
      <alignment horizontal="left" vertical="center"/>
    </xf>
    <xf numFmtId="0" fontId="48" fillId="0" borderId="136"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100" fillId="0" borderId="137" xfId="0" applyFont="1" applyFill="1" applyBorder="1" applyAlignment="1">
      <alignment vertical="center" wrapText="1"/>
    </xf>
    <xf numFmtId="0" fontId="100" fillId="0" borderId="138" xfId="0" applyFont="1" applyFill="1" applyBorder="1" applyAlignment="1">
      <alignment vertical="center" wrapText="1"/>
    </xf>
    <xf numFmtId="0" fontId="100" fillId="0" borderId="139" xfId="0" applyFont="1" applyFill="1" applyBorder="1" applyAlignment="1">
      <alignment vertical="center" wrapText="1"/>
    </xf>
    <xf numFmtId="0" fontId="100" fillId="0" borderId="136" xfId="0" applyFont="1" applyFill="1" applyBorder="1" applyAlignment="1">
      <alignment vertical="center" wrapText="1"/>
    </xf>
    <xf numFmtId="0" fontId="100" fillId="0" borderId="140" xfId="0" applyFont="1" applyFill="1" applyBorder="1" applyAlignment="1">
      <alignment vertical="center" wrapText="1"/>
    </xf>
    <xf numFmtId="0" fontId="100" fillId="0" borderId="141" xfId="0" applyFont="1" applyFill="1" applyBorder="1" applyAlignment="1">
      <alignment vertical="center" wrapText="1"/>
    </xf>
    <xf numFmtId="0" fontId="100" fillId="0" borderId="142" xfId="0" applyFont="1" applyFill="1" applyBorder="1" applyAlignment="1">
      <alignment vertical="center" wrapText="1"/>
    </xf>
    <xf numFmtId="0" fontId="100" fillId="0" borderId="143" xfId="0" applyFont="1" applyFill="1" applyBorder="1" applyAlignment="1">
      <alignment vertical="center" wrapText="1"/>
    </xf>
    <xf numFmtId="0" fontId="100" fillId="0" borderId="144" xfId="0" applyFont="1" applyFill="1" applyBorder="1" applyAlignment="1">
      <alignment vertical="center" wrapText="1"/>
    </xf>
    <xf numFmtId="0" fontId="100" fillId="0" borderId="145" xfId="0" applyFont="1" applyFill="1" applyBorder="1" applyAlignment="1">
      <alignment vertical="center" wrapText="1"/>
    </xf>
    <xf numFmtId="0" fontId="100" fillId="0" borderId="146" xfId="0" applyFont="1" applyFill="1" applyBorder="1" applyAlignment="1">
      <alignment vertical="center" wrapText="1"/>
    </xf>
    <xf numFmtId="0" fontId="100" fillId="0" borderId="147" xfId="0" applyFont="1" applyFill="1" applyBorder="1" applyAlignment="1">
      <alignment vertical="center" wrapText="1"/>
    </xf>
    <xf numFmtId="0" fontId="100" fillId="0" borderId="148" xfId="0" applyFont="1" applyFill="1" applyBorder="1" applyAlignment="1">
      <alignment vertical="center" wrapText="1"/>
    </xf>
    <xf numFmtId="0" fontId="100" fillId="0" borderId="149" xfId="0" applyFont="1" applyFill="1" applyBorder="1" applyAlignment="1">
      <alignment vertical="center" wrapText="1"/>
    </xf>
    <xf numFmtId="0" fontId="100" fillId="0" borderId="150" xfId="0" applyFont="1" applyFill="1" applyBorder="1" applyAlignment="1">
      <alignment vertical="center" wrapText="1"/>
    </xf>
    <xf numFmtId="0" fontId="100" fillId="0" borderId="151" xfId="0" applyFont="1" applyFill="1" applyBorder="1" applyAlignment="1">
      <alignment vertical="center" wrapText="1"/>
    </xf>
    <xf numFmtId="0" fontId="100" fillId="0" borderId="152" xfId="0" applyFont="1" applyFill="1" applyBorder="1" applyAlignment="1">
      <alignment vertical="center" wrapText="1"/>
    </xf>
    <xf numFmtId="0" fontId="100" fillId="0" borderId="153" xfId="0" applyFont="1" applyFill="1" applyBorder="1" applyAlignment="1">
      <alignment vertical="center" wrapText="1"/>
    </xf>
    <xf numFmtId="0" fontId="50" fillId="0" borderId="0" xfId="0" applyFont="1" applyAlignment="1">
      <alignment/>
    </xf>
    <xf numFmtId="0" fontId="100" fillId="0" borderId="150" xfId="0" applyFont="1" applyFill="1" applyBorder="1" applyAlignment="1">
      <alignment horizontal="right" vertical="center"/>
    </xf>
    <xf numFmtId="0" fontId="100" fillId="0" borderId="154" xfId="0" applyFont="1" applyFill="1" applyBorder="1" applyAlignment="1">
      <alignment horizontal="center" vertical="center" wrapText="1"/>
    </xf>
    <xf numFmtId="0" fontId="100" fillId="0" borderId="155" xfId="0" applyFont="1" applyFill="1" applyBorder="1" applyAlignment="1">
      <alignment vertical="center" wrapText="1"/>
    </xf>
    <xf numFmtId="0" fontId="100" fillId="0" borderId="156" xfId="0" applyFont="1" applyFill="1" applyBorder="1" applyAlignment="1">
      <alignment vertical="center" wrapText="1"/>
    </xf>
    <xf numFmtId="0" fontId="100" fillId="0" borderId="157" xfId="0" applyFont="1" applyFill="1" applyBorder="1" applyAlignment="1">
      <alignment vertical="center" wrapText="1"/>
    </xf>
    <xf numFmtId="0" fontId="100" fillId="0" borderId="158" xfId="0" applyFont="1" applyFill="1" applyBorder="1" applyAlignment="1">
      <alignment vertical="center" wrapText="1"/>
    </xf>
    <xf numFmtId="0" fontId="100" fillId="0" borderId="159" xfId="0" applyFont="1" applyFill="1" applyBorder="1" applyAlignment="1">
      <alignment vertical="center" wrapText="1"/>
    </xf>
    <xf numFmtId="0" fontId="100" fillId="0" borderId="160" xfId="0" applyFont="1" applyFill="1" applyBorder="1" applyAlignment="1">
      <alignment horizontal="center" vertical="center" wrapText="1"/>
    </xf>
    <xf numFmtId="0" fontId="100" fillId="0" borderId="16" xfId="0" applyFont="1" applyFill="1" applyBorder="1" applyAlignment="1">
      <alignment horizontal="center" vertical="center" wrapText="1"/>
    </xf>
    <xf numFmtId="0" fontId="100" fillId="0" borderId="161" xfId="0" applyFont="1" applyFill="1" applyBorder="1" applyAlignment="1">
      <alignment vertical="center" wrapText="1"/>
    </xf>
    <xf numFmtId="0" fontId="100" fillId="0" borderId="162" xfId="0" applyFont="1" applyFill="1" applyBorder="1" applyAlignment="1">
      <alignment vertical="center" wrapText="1"/>
    </xf>
    <xf numFmtId="0" fontId="100" fillId="0" borderId="163" xfId="0" applyFont="1" applyFill="1" applyBorder="1" applyAlignment="1">
      <alignment vertical="center" wrapText="1"/>
    </xf>
    <xf numFmtId="0" fontId="48" fillId="0" borderId="164" xfId="0" applyFont="1" applyFill="1" applyBorder="1" applyAlignment="1">
      <alignment vertical="center" wrapText="1"/>
    </xf>
    <xf numFmtId="0" fontId="48" fillId="0" borderId="165" xfId="0" applyFont="1" applyFill="1" applyBorder="1" applyAlignment="1">
      <alignment vertical="center" wrapText="1"/>
    </xf>
    <xf numFmtId="0" fontId="100" fillId="0" borderId="166" xfId="0" applyFont="1" applyFill="1" applyBorder="1" applyAlignment="1">
      <alignment vertical="center" wrapText="1"/>
    </xf>
    <xf numFmtId="0" fontId="100" fillId="0" borderId="167" xfId="0" applyFont="1" applyFill="1" applyBorder="1" applyAlignment="1">
      <alignment vertical="center" wrapText="1"/>
    </xf>
    <xf numFmtId="0" fontId="100" fillId="0" borderId="168" xfId="0" applyFont="1" applyFill="1" applyBorder="1" applyAlignment="1">
      <alignment vertical="center" wrapText="1"/>
    </xf>
    <xf numFmtId="0" fontId="100" fillId="0" borderId="169" xfId="0" applyFont="1" applyFill="1" applyBorder="1" applyAlignment="1">
      <alignment vertical="center" wrapText="1"/>
    </xf>
    <xf numFmtId="0" fontId="100" fillId="0" borderId="170" xfId="0" applyFont="1" applyFill="1" applyBorder="1" applyAlignment="1">
      <alignment vertical="center" wrapText="1"/>
    </xf>
    <xf numFmtId="0" fontId="100" fillId="0" borderId="0" xfId="0" applyFont="1" applyFill="1" applyBorder="1" applyAlignment="1">
      <alignment vertical="center"/>
    </xf>
    <xf numFmtId="0" fontId="100" fillId="0" borderId="0" xfId="0" applyFont="1" applyFill="1" applyBorder="1" applyAlignment="1">
      <alignment horizontal="center" vertical="center"/>
    </xf>
    <xf numFmtId="0" fontId="48" fillId="0" borderId="138" xfId="0" applyFont="1" applyFill="1" applyBorder="1" applyAlignment="1">
      <alignment vertical="center" wrapText="1"/>
    </xf>
    <xf numFmtId="0" fontId="48" fillId="0" borderId="11" xfId="0" applyFont="1" applyFill="1" applyBorder="1" applyAlignment="1">
      <alignment vertical="center" wrapText="1"/>
    </xf>
    <xf numFmtId="0" fontId="100" fillId="0" borderId="78" xfId="0" applyFont="1" applyFill="1" applyBorder="1" applyAlignment="1">
      <alignment vertical="center" wrapText="1"/>
    </xf>
    <xf numFmtId="0" fontId="100" fillId="0" borderId="0" xfId="0" applyFont="1" applyFill="1" applyBorder="1" applyAlignment="1">
      <alignment horizontal="center" vertical="center" wrapText="1"/>
    </xf>
    <xf numFmtId="0" fontId="100" fillId="0" borderId="171" xfId="0" applyFont="1" applyFill="1" applyBorder="1" applyAlignment="1">
      <alignment vertical="center" wrapText="1"/>
    </xf>
    <xf numFmtId="0" fontId="101" fillId="0" borderId="0" xfId="0" applyFont="1" applyFill="1" applyBorder="1" applyAlignment="1">
      <alignment vertical="center"/>
    </xf>
    <xf numFmtId="0" fontId="101" fillId="0" borderId="0" xfId="0" applyFont="1" applyFill="1" applyBorder="1" applyAlignment="1">
      <alignment horizontal="center" vertical="center"/>
    </xf>
    <xf numFmtId="0" fontId="101" fillId="0" borderId="0" xfId="0" applyFont="1" applyFill="1" applyBorder="1" applyAlignment="1">
      <alignment horizontal="left" vertical="center"/>
    </xf>
    <xf numFmtId="0" fontId="39" fillId="0" borderId="0" xfId="0" applyFont="1" applyAlignment="1">
      <alignment/>
    </xf>
    <xf numFmtId="0" fontId="76" fillId="0" borderId="0" xfId="0" applyFont="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72" xfId="0" applyBorder="1" applyAlignment="1">
      <alignment vertical="center"/>
    </xf>
    <xf numFmtId="0" fontId="0" fillId="0" borderId="138" xfId="0" applyBorder="1" applyAlignment="1">
      <alignment vertical="center"/>
    </xf>
    <xf numFmtId="0" fontId="0" fillId="0" borderId="13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3" fillId="0" borderId="91" xfId="0" applyFont="1" applyBorder="1" applyAlignment="1">
      <alignment shrinkToFit="1"/>
    </xf>
    <xf numFmtId="0" fontId="100" fillId="0" borderId="138" xfId="0" applyFont="1" applyFill="1" applyBorder="1" applyAlignment="1">
      <alignment horizontal="left" vertical="center" wrapText="1" shrinkToFit="1"/>
    </xf>
    <xf numFmtId="0" fontId="100" fillId="0" borderId="136" xfId="0" applyFont="1" applyFill="1" applyBorder="1" applyAlignment="1">
      <alignment horizontal="left" vertical="center" wrapText="1" shrinkToFit="1"/>
    </xf>
    <xf numFmtId="38" fontId="100" fillId="0" borderId="172" xfId="49" applyFont="1" applyFill="1" applyBorder="1" applyAlignment="1">
      <alignment horizontal="right" vertical="center" wrapText="1" shrinkToFit="1"/>
    </xf>
    <xf numFmtId="38" fontId="100" fillId="0" borderId="138" xfId="49" applyFont="1" applyFill="1" applyBorder="1" applyAlignment="1">
      <alignment horizontal="right" vertical="center" wrapText="1" shrinkToFit="1"/>
    </xf>
    <xf numFmtId="0" fontId="48" fillId="0" borderId="0" xfId="0" applyFont="1" applyFill="1" applyBorder="1" applyAlignment="1">
      <alignment horizontal="center" vertical="center"/>
    </xf>
    <xf numFmtId="0" fontId="48" fillId="0" borderId="173" xfId="0" applyFont="1" applyFill="1" applyBorder="1" applyAlignment="1">
      <alignment horizontal="center" vertical="center" wrapText="1" shrinkToFit="1"/>
    </xf>
    <xf numFmtId="0" fontId="48" fillId="0" borderId="174" xfId="0" applyFont="1" applyFill="1" applyBorder="1" applyAlignment="1">
      <alignment horizontal="center" vertical="center" wrapText="1" shrinkToFit="1"/>
    </xf>
    <xf numFmtId="0" fontId="100" fillId="0" borderId="175" xfId="0" applyFont="1" applyFill="1" applyBorder="1" applyAlignment="1">
      <alignment horizontal="center" vertical="center" textRotation="255" wrapText="1"/>
    </xf>
    <xf numFmtId="0" fontId="100" fillId="0" borderId="176" xfId="0" applyFont="1" applyFill="1" applyBorder="1" applyAlignment="1">
      <alignment horizontal="center" vertical="center" textRotation="255" wrapText="1"/>
    </xf>
    <xf numFmtId="0" fontId="100" fillId="0" borderId="134" xfId="0" applyFont="1" applyFill="1" applyBorder="1" applyAlignment="1">
      <alignment horizontal="center" vertical="center" textRotation="255" wrapText="1"/>
    </xf>
    <xf numFmtId="0" fontId="100" fillId="0" borderId="177" xfId="0" applyFont="1" applyFill="1" applyBorder="1" applyAlignment="1">
      <alignment horizontal="center" vertical="center"/>
    </xf>
    <xf numFmtId="0" fontId="100" fillId="0" borderId="178" xfId="0" applyFont="1" applyFill="1" applyBorder="1" applyAlignment="1">
      <alignment horizontal="center" vertical="center"/>
    </xf>
    <xf numFmtId="0" fontId="100" fillId="0" borderId="179" xfId="0" applyFont="1" applyFill="1" applyBorder="1" applyAlignment="1">
      <alignment horizontal="center" vertical="center"/>
    </xf>
    <xf numFmtId="0" fontId="100" fillId="0" borderId="180" xfId="0" applyFont="1" applyFill="1" applyBorder="1" applyAlignment="1">
      <alignment horizontal="center" vertical="center"/>
    </xf>
    <xf numFmtId="0" fontId="100" fillId="0" borderId="181" xfId="0" applyFont="1" applyFill="1" applyBorder="1" applyAlignment="1">
      <alignment horizontal="center" vertical="center"/>
    </xf>
    <xf numFmtId="0" fontId="100" fillId="0" borderId="182" xfId="0" applyFont="1" applyFill="1" applyBorder="1" applyAlignment="1">
      <alignment horizontal="center" vertical="center"/>
    </xf>
    <xf numFmtId="0" fontId="48" fillId="0" borderId="132" xfId="0" applyFont="1" applyFill="1" applyBorder="1" applyAlignment="1">
      <alignment vertical="center" shrinkToFit="1"/>
    </xf>
    <xf numFmtId="0" fontId="100" fillId="0" borderId="137" xfId="0" applyFont="1" applyFill="1" applyBorder="1" applyAlignment="1">
      <alignment horizontal="center" vertical="center"/>
    </xf>
    <xf numFmtId="0" fontId="100" fillId="0" borderId="138" xfId="0" applyFont="1" applyFill="1" applyBorder="1" applyAlignment="1">
      <alignment horizontal="center" vertical="center"/>
    </xf>
    <xf numFmtId="0" fontId="100" fillId="0" borderId="136" xfId="0" applyFont="1" applyFill="1" applyBorder="1" applyAlignment="1">
      <alignment horizontal="center" vertical="center"/>
    </xf>
    <xf numFmtId="0" fontId="100" fillId="0" borderId="172" xfId="0" applyFont="1" applyFill="1" applyBorder="1" applyAlignment="1">
      <alignment horizontal="center" vertical="center"/>
    </xf>
    <xf numFmtId="0" fontId="48" fillId="0" borderId="78" xfId="0" applyFont="1" applyFill="1" applyBorder="1" applyAlignment="1">
      <alignment horizontal="center" vertical="center" shrinkToFit="1"/>
    </xf>
    <xf numFmtId="0" fontId="100" fillId="0" borderId="78" xfId="0" applyFont="1" applyFill="1" applyBorder="1" applyAlignment="1">
      <alignment horizontal="center" vertical="center"/>
    </xf>
    <xf numFmtId="0" fontId="100" fillId="0" borderId="183" xfId="0" applyFont="1" applyFill="1" applyBorder="1" applyAlignment="1">
      <alignment horizontal="center" vertical="center"/>
    </xf>
    <xf numFmtId="0" fontId="48" fillId="0" borderId="0" xfId="0" applyFont="1" applyFill="1" applyBorder="1" applyAlignment="1">
      <alignment vertical="center" shrinkToFit="1"/>
    </xf>
    <xf numFmtId="0" fontId="100" fillId="0" borderId="137" xfId="0" applyFont="1" applyFill="1" applyBorder="1" applyAlignment="1">
      <alignment horizontal="center" vertical="center" wrapText="1"/>
    </xf>
    <xf numFmtId="0" fontId="49" fillId="0" borderId="78" xfId="0" applyFont="1" applyFill="1" applyBorder="1" applyAlignment="1">
      <alignment horizontal="center" vertical="center" wrapText="1" shrinkToFit="1"/>
    </xf>
    <xf numFmtId="0" fontId="101" fillId="0" borderId="152" xfId="0" applyFont="1" applyFill="1" applyBorder="1" applyAlignment="1">
      <alignment horizontal="center" vertical="center" wrapText="1"/>
    </xf>
    <xf numFmtId="0" fontId="101" fillId="0" borderId="153" xfId="0" applyFont="1" applyFill="1" applyBorder="1" applyAlignment="1">
      <alignment horizontal="center" vertical="center" wrapText="1"/>
    </xf>
    <xf numFmtId="0" fontId="101" fillId="0" borderId="164" xfId="0" applyFont="1" applyFill="1" applyBorder="1" applyAlignment="1">
      <alignment horizontal="center" vertical="center" wrapText="1"/>
    </xf>
    <xf numFmtId="0" fontId="100" fillId="0" borderId="184" xfId="0" applyFont="1" applyFill="1" applyBorder="1" applyAlignment="1">
      <alignment horizontal="center" vertical="center"/>
    </xf>
    <xf numFmtId="0" fontId="100" fillId="0" borderId="185" xfId="0" applyFont="1" applyFill="1" applyBorder="1" applyAlignment="1">
      <alignment horizontal="center" vertical="center"/>
    </xf>
    <xf numFmtId="0" fontId="48" fillId="0" borderId="0" xfId="0" applyFont="1" applyFill="1" applyBorder="1" applyAlignment="1">
      <alignment horizontal="left" vertical="center" shrinkToFit="1"/>
    </xf>
    <xf numFmtId="0" fontId="48" fillId="0" borderId="0" xfId="0" applyFont="1" applyFill="1" applyBorder="1" applyAlignment="1">
      <alignment horizontal="left" vertical="center" wrapText="1"/>
    </xf>
    <xf numFmtId="0" fontId="48" fillId="0" borderId="186" xfId="0" applyFont="1" applyFill="1" applyBorder="1" applyAlignment="1">
      <alignment horizontal="center" vertical="center" wrapText="1"/>
    </xf>
    <xf numFmtId="0" fontId="48" fillId="0" borderId="187" xfId="0" applyFont="1" applyFill="1" applyBorder="1" applyAlignment="1">
      <alignment horizontal="center" vertical="center" wrapText="1"/>
    </xf>
    <xf numFmtId="0" fontId="48" fillId="0" borderId="188" xfId="0" applyFont="1" applyFill="1" applyBorder="1" applyAlignment="1">
      <alignment horizontal="center" vertical="center" wrapText="1"/>
    </xf>
    <xf numFmtId="0" fontId="48" fillId="0" borderId="175" xfId="0" applyFont="1" applyFill="1" applyBorder="1" applyAlignment="1">
      <alignment vertical="center" wrapText="1"/>
    </xf>
    <xf numFmtId="0" fontId="48" fillId="0" borderId="132" xfId="0" applyFont="1" applyFill="1" applyBorder="1" applyAlignment="1">
      <alignment vertical="center" wrapText="1"/>
    </xf>
    <xf numFmtId="0" fontId="48" fillId="0" borderId="189" xfId="0" applyFont="1" applyFill="1" applyBorder="1" applyAlignment="1">
      <alignment vertical="center" wrapText="1"/>
    </xf>
    <xf numFmtId="0" fontId="48" fillId="0" borderId="177" xfId="0" applyFont="1" applyFill="1" applyBorder="1" applyAlignment="1">
      <alignment horizontal="left" vertical="center" wrapText="1"/>
    </xf>
    <xf numFmtId="0" fontId="48" fillId="0" borderId="178" xfId="0" applyFont="1" applyFill="1" applyBorder="1" applyAlignment="1">
      <alignment horizontal="left" vertical="center" wrapText="1"/>
    </xf>
    <xf numFmtId="0" fontId="48" fillId="0" borderId="190" xfId="0" applyFont="1" applyFill="1" applyBorder="1" applyAlignment="1">
      <alignment horizontal="left" vertical="center" wrapText="1"/>
    </xf>
    <xf numFmtId="0" fontId="48" fillId="0" borderId="137" xfId="0" applyFont="1" applyFill="1" applyBorder="1" applyAlignment="1">
      <alignment horizontal="center" vertical="center" wrapText="1"/>
    </xf>
    <xf numFmtId="0" fontId="48" fillId="0" borderId="138" xfId="0" applyFont="1" applyFill="1" applyBorder="1" applyAlignment="1">
      <alignment horizontal="center" vertical="center" wrapText="1"/>
    </xf>
    <xf numFmtId="0" fontId="48" fillId="0" borderId="163" xfId="0" applyFont="1" applyFill="1" applyBorder="1" applyAlignment="1">
      <alignment horizontal="center" vertical="center" wrapText="1"/>
    </xf>
    <xf numFmtId="0" fontId="100" fillId="0" borderId="138" xfId="0" applyFont="1" applyFill="1" applyBorder="1" applyAlignment="1">
      <alignment horizontal="center" vertical="center" shrinkToFit="1"/>
    </xf>
    <xf numFmtId="0" fontId="100" fillId="0" borderId="163" xfId="0" applyFont="1" applyFill="1" applyBorder="1" applyAlignment="1">
      <alignment horizontal="center" vertical="center" shrinkToFit="1"/>
    </xf>
    <xf numFmtId="0" fontId="48" fillId="0" borderId="133" xfId="0" applyFont="1" applyFill="1" applyBorder="1" applyAlignment="1">
      <alignment vertical="center" wrapText="1"/>
    </xf>
    <xf numFmtId="0" fontId="48" fillId="0" borderId="15" xfId="0" applyFont="1" applyFill="1" applyBorder="1" applyAlignment="1">
      <alignment vertical="center" wrapText="1"/>
    </xf>
    <xf numFmtId="0" fontId="48" fillId="0" borderId="15" xfId="0" applyFont="1" applyFill="1" applyBorder="1" applyAlignment="1">
      <alignment horizontal="center" vertical="center" wrapText="1"/>
    </xf>
    <xf numFmtId="0" fontId="48" fillId="0" borderId="191"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92" xfId="0" applyFont="1" applyFill="1" applyBorder="1" applyAlignment="1">
      <alignment horizontal="center" vertical="center" wrapText="1"/>
    </xf>
    <xf numFmtId="0" fontId="48" fillId="0" borderId="176" xfId="0" applyFont="1" applyFill="1" applyBorder="1" applyAlignment="1">
      <alignment vertical="center" wrapText="1"/>
    </xf>
    <xf numFmtId="0" fontId="48" fillId="0" borderId="0" xfId="0" applyFont="1" applyFill="1" applyBorder="1" applyAlignment="1">
      <alignment vertical="center" wrapText="1"/>
    </xf>
    <xf numFmtId="0" fontId="48" fillId="0" borderId="134" xfId="0" applyFont="1" applyFill="1" applyBorder="1" applyAlignment="1">
      <alignment horizontal="left" vertical="center" shrinkToFit="1"/>
    </xf>
    <xf numFmtId="0" fontId="48" fillId="0" borderId="150" xfId="0" applyFont="1" applyFill="1" applyBorder="1" applyAlignment="1">
      <alignment horizontal="left" vertical="center" shrinkToFit="1"/>
    </xf>
    <xf numFmtId="0" fontId="48" fillId="0" borderId="151" xfId="0" applyFont="1" applyFill="1" applyBorder="1" applyAlignment="1">
      <alignment horizontal="left" vertical="center" shrinkToFit="1"/>
    </xf>
    <xf numFmtId="0" fontId="100" fillId="0" borderId="175" xfId="0" applyFont="1" applyFill="1" applyBorder="1" applyAlignment="1">
      <alignment horizontal="left" vertical="center"/>
    </xf>
    <xf numFmtId="0" fontId="100" fillId="0" borderId="132" xfId="0" applyFont="1" applyFill="1" applyBorder="1" applyAlignment="1">
      <alignment horizontal="left" vertical="center"/>
    </xf>
    <xf numFmtId="0" fontId="100" fillId="0" borderId="178" xfId="0" applyFont="1" applyFill="1" applyBorder="1" applyAlignment="1">
      <alignment horizontal="left" vertical="center"/>
    </xf>
    <xf numFmtId="0" fontId="100" fillId="0" borderId="189" xfId="0" applyFont="1" applyFill="1" applyBorder="1" applyAlignment="1">
      <alignment horizontal="left" vertical="center"/>
    </xf>
    <xf numFmtId="0" fontId="100" fillId="0" borderId="14" xfId="0" applyFont="1" applyFill="1" applyBorder="1" applyAlignment="1">
      <alignment horizontal="center" vertical="center"/>
    </xf>
    <xf numFmtId="0" fontId="100" fillId="0" borderId="15" xfId="0" applyFont="1" applyFill="1" applyBorder="1" applyAlignment="1">
      <alignment horizontal="center" vertical="center"/>
    </xf>
    <xf numFmtId="0" fontId="100" fillId="0" borderId="16" xfId="0" applyFont="1" applyFill="1" applyBorder="1" applyAlignment="1">
      <alignment horizontal="center" vertical="center"/>
    </xf>
    <xf numFmtId="0" fontId="100" fillId="0" borderId="78" xfId="0" applyFont="1" applyFill="1" applyBorder="1" applyAlignment="1">
      <alignment horizontal="center" vertical="center" wrapText="1" shrinkToFit="1"/>
    </xf>
    <xf numFmtId="0" fontId="100" fillId="0" borderId="78" xfId="0" applyFont="1" applyFill="1" applyBorder="1" applyAlignment="1">
      <alignment horizontal="center" vertical="center" wrapText="1"/>
    </xf>
    <xf numFmtId="0" fontId="100" fillId="0" borderId="172" xfId="0" applyFont="1" applyFill="1" applyBorder="1" applyAlignment="1">
      <alignment horizontal="center" vertical="center" wrapText="1"/>
    </xf>
    <xf numFmtId="0" fontId="100" fillId="0" borderId="184" xfId="0" applyFont="1" applyFill="1" applyBorder="1" applyAlignment="1">
      <alignment horizontal="center" vertical="center" wrapText="1"/>
    </xf>
    <xf numFmtId="0" fontId="100" fillId="0" borderId="193" xfId="0" applyFont="1" applyFill="1" applyBorder="1" applyAlignment="1">
      <alignment horizontal="center" vertical="center" wrapText="1"/>
    </xf>
    <xf numFmtId="0" fontId="100" fillId="0" borderId="191" xfId="0" applyFont="1" applyFill="1" applyBorder="1" applyAlignment="1">
      <alignment horizontal="center" vertical="center"/>
    </xf>
    <xf numFmtId="0" fontId="100" fillId="0" borderId="17" xfId="0" applyFont="1" applyFill="1" applyBorder="1" applyAlignment="1">
      <alignment horizontal="center" vertical="center"/>
    </xf>
    <xf numFmtId="0" fontId="100" fillId="0" borderId="192" xfId="0" applyFont="1" applyFill="1" applyBorder="1" applyAlignment="1">
      <alignment horizontal="center" vertical="center"/>
    </xf>
    <xf numFmtId="0" fontId="100" fillId="0" borderId="135" xfId="0" applyFont="1" applyFill="1" applyBorder="1" applyAlignment="1">
      <alignment horizontal="center" vertical="center"/>
    </xf>
    <xf numFmtId="0" fontId="100" fillId="0" borderId="151" xfId="0" applyFont="1" applyFill="1" applyBorder="1" applyAlignment="1">
      <alignment horizontal="center" vertical="center"/>
    </xf>
    <xf numFmtId="0" fontId="48" fillId="0" borderId="133"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14" xfId="0" applyFont="1" applyFill="1" applyBorder="1" applyAlignment="1">
      <alignment horizontal="center" vertical="center" wrapText="1" shrinkToFit="1"/>
    </xf>
    <xf numFmtId="0" fontId="48" fillId="0" borderId="15" xfId="0" applyFont="1" applyFill="1" applyBorder="1" applyAlignment="1">
      <alignment horizontal="center" vertical="center" wrapText="1" shrinkToFit="1"/>
    </xf>
    <xf numFmtId="0" fontId="48" fillId="0" borderId="16" xfId="0" applyFont="1" applyFill="1" applyBorder="1" applyAlignment="1">
      <alignment horizontal="center" vertical="center" wrapText="1" shrinkToFit="1"/>
    </xf>
    <xf numFmtId="38" fontId="48" fillId="0" borderId="172" xfId="49" applyFont="1" applyFill="1" applyBorder="1" applyAlignment="1">
      <alignment horizontal="right" vertical="center" shrinkToFit="1"/>
    </xf>
    <xf numFmtId="38" fontId="48" fillId="0" borderId="138" xfId="49" applyFont="1" applyFill="1" applyBorder="1" applyAlignment="1">
      <alignment horizontal="right" vertical="center" shrinkToFit="1"/>
    </xf>
    <xf numFmtId="0" fontId="48" fillId="0" borderId="138" xfId="0" applyFont="1" applyFill="1" applyBorder="1" applyAlignment="1">
      <alignment horizontal="left" vertical="center" shrinkToFit="1"/>
    </xf>
    <xf numFmtId="0" fontId="48" fillId="0" borderId="136" xfId="0" applyFont="1" applyFill="1" applyBorder="1" applyAlignment="1">
      <alignment horizontal="left" vertical="center" shrinkToFit="1"/>
    </xf>
    <xf numFmtId="0" fontId="49" fillId="0" borderId="193" xfId="0" applyFont="1" applyFill="1" applyBorder="1" applyAlignment="1">
      <alignment horizontal="center" vertical="center" wrapText="1" shrinkToFit="1"/>
    </xf>
    <xf numFmtId="0" fontId="49" fillId="0" borderId="153" xfId="0" applyFont="1" applyFill="1" applyBorder="1" applyAlignment="1">
      <alignment horizontal="center" vertical="center" wrapText="1" shrinkToFit="1"/>
    </xf>
    <xf numFmtId="0" fontId="49" fillId="0" borderId="164" xfId="0" applyFont="1" applyFill="1" applyBorder="1" applyAlignment="1">
      <alignment horizontal="center" vertical="center" wrapText="1" shrinkToFit="1"/>
    </xf>
    <xf numFmtId="0" fontId="102" fillId="0" borderId="134" xfId="0" applyFont="1" applyFill="1" applyBorder="1" applyAlignment="1">
      <alignment vertical="center" wrapText="1"/>
    </xf>
    <xf numFmtId="0" fontId="102" fillId="0" borderId="150" xfId="0" applyFont="1" applyFill="1" applyBorder="1" applyAlignment="1">
      <alignment vertical="center" wrapText="1"/>
    </xf>
    <xf numFmtId="0" fontId="102" fillId="0" borderId="151" xfId="0" applyFont="1" applyFill="1" applyBorder="1" applyAlignment="1">
      <alignment vertical="center" wrapText="1"/>
    </xf>
    <xf numFmtId="0" fontId="48" fillId="0" borderId="177" xfId="0" applyFont="1" applyFill="1" applyBorder="1" applyAlignment="1">
      <alignment vertical="center" wrapText="1"/>
    </xf>
    <xf numFmtId="0" fontId="48" fillId="0" borderId="178" xfId="0" applyFont="1" applyFill="1" applyBorder="1" applyAlignment="1">
      <alignment vertical="center" wrapText="1"/>
    </xf>
    <xf numFmtId="0" fontId="48" fillId="0" borderId="190" xfId="0" applyFont="1" applyFill="1" applyBorder="1" applyAlignment="1">
      <alignment vertical="center" wrapText="1"/>
    </xf>
    <xf numFmtId="0" fontId="48" fillId="0" borderId="175" xfId="0" applyFont="1" applyFill="1" applyBorder="1" applyAlignment="1">
      <alignment horizontal="center" vertical="center" wrapText="1"/>
    </xf>
    <xf numFmtId="0" fontId="48" fillId="0" borderId="132" xfId="0" applyFont="1" applyFill="1" applyBorder="1" applyAlignment="1">
      <alignment horizontal="center" vertical="center" wrapText="1"/>
    </xf>
    <xf numFmtId="0" fontId="48" fillId="0" borderId="189" xfId="0" applyFont="1" applyFill="1" applyBorder="1" applyAlignment="1">
      <alignment horizontal="center" vertical="center" wrapText="1"/>
    </xf>
    <xf numFmtId="0" fontId="48" fillId="0" borderId="194"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95" xfId="0" applyFont="1" applyFill="1" applyBorder="1" applyAlignment="1">
      <alignment horizontal="center" vertical="center" wrapText="1"/>
    </xf>
    <xf numFmtId="0" fontId="48" fillId="0" borderId="133" xfId="0" applyFont="1" applyFill="1" applyBorder="1" applyAlignment="1">
      <alignment horizontal="center" vertical="center" wrapText="1"/>
    </xf>
    <xf numFmtId="0" fontId="48" fillId="0" borderId="196" xfId="0" applyFont="1" applyFill="1" applyBorder="1" applyAlignment="1">
      <alignment horizontal="center" vertical="center" wrapText="1"/>
    </xf>
    <xf numFmtId="0" fontId="48" fillId="0" borderId="176" xfId="0" applyFont="1" applyFill="1" applyBorder="1" applyAlignment="1">
      <alignment horizontal="center" vertical="center" wrapText="1"/>
    </xf>
    <xf numFmtId="0" fontId="48" fillId="0" borderId="197" xfId="0" applyFont="1" applyFill="1" applyBorder="1" applyAlignment="1">
      <alignment horizontal="center" vertical="center" wrapText="1"/>
    </xf>
    <xf numFmtId="0" fontId="48" fillId="0" borderId="146" xfId="0" applyFont="1" applyFill="1" applyBorder="1" applyAlignment="1">
      <alignment horizontal="center" vertical="center" wrapText="1"/>
    </xf>
    <xf numFmtId="0" fontId="48" fillId="0" borderId="198" xfId="0" applyFont="1" applyFill="1" applyBorder="1" applyAlignment="1">
      <alignment horizontal="center" vertical="center" wrapText="1"/>
    </xf>
    <xf numFmtId="0" fontId="48" fillId="0" borderId="199" xfId="0" applyFont="1" applyFill="1" applyBorder="1" applyAlignment="1">
      <alignment horizontal="center" vertical="center" wrapText="1"/>
    </xf>
    <xf numFmtId="0" fontId="48" fillId="0" borderId="200" xfId="0" applyFont="1" applyFill="1" applyBorder="1" applyAlignment="1">
      <alignment horizontal="center" vertical="center" wrapText="1"/>
    </xf>
    <xf numFmtId="0" fontId="48" fillId="0" borderId="172" xfId="0" applyFont="1" applyFill="1" applyBorder="1" applyAlignment="1">
      <alignment horizontal="center" vertical="center" wrapText="1"/>
    </xf>
    <xf numFmtId="0" fontId="48" fillId="0" borderId="201" xfId="0" applyFont="1" applyFill="1" applyBorder="1" applyAlignment="1">
      <alignment horizontal="center" vertical="center" wrapText="1"/>
    </xf>
    <xf numFmtId="0" fontId="48" fillId="0" borderId="202" xfId="0" applyFont="1" applyFill="1" applyBorder="1" applyAlignment="1">
      <alignment horizontal="center" vertical="center" wrapText="1"/>
    </xf>
    <xf numFmtId="0" fontId="48" fillId="0" borderId="20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204" xfId="0" applyFont="1" applyFill="1" applyBorder="1" applyAlignment="1">
      <alignment horizontal="center" vertical="center" wrapText="1"/>
    </xf>
    <xf numFmtId="0" fontId="48" fillId="0" borderId="205" xfId="0" applyFont="1" applyFill="1" applyBorder="1" applyAlignment="1">
      <alignment horizontal="center" vertical="center" wrapText="1"/>
    </xf>
    <xf numFmtId="0" fontId="48" fillId="0" borderId="144" xfId="0" applyFont="1" applyFill="1" applyBorder="1" applyAlignment="1">
      <alignment horizontal="center" vertical="center" wrapText="1"/>
    </xf>
    <xf numFmtId="0" fontId="48" fillId="0" borderId="136" xfId="0" applyFont="1" applyFill="1" applyBorder="1" applyAlignment="1">
      <alignment horizontal="center" vertical="center" wrapText="1"/>
    </xf>
    <xf numFmtId="0" fontId="48" fillId="0" borderId="172" xfId="0" applyFont="1" applyFill="1" applyBorder="1" applyAlignment="1">
      <alignment horizontal="center" vertical="center" shrinkToFit="1"/>
    </xf>
    <xf numFmtId="0" fontId="48" fillId="0" borderId="138" xfId="0" applyFont="1" applyFill="1" applyBorder="1" applyAlignment="1">
      <alignment horizontal="center" vertical="center" shrinkToFit="1"/>
    </xf>
    <xf numFmtId="0" fontId="48" fillId="0" borderId="163" xfId="0" applyFont="1" applyFill="1" applyBorder="1" applyAlignment="1">
      <alignment horizontal="center" vertical="center" shrinkToFit="1"/>
    </xf>
    <xf numFmtId="0" fontId="100" fillId="0" borderId="172" xfId="0" applyFont="1" applyFill="1" applyBorder="1" applyAlignment="1">
      <alignment horizontal="right" vertical="center"/>
    </xf>
    <xf numFmtId="0" fontId="100" fillId="0" borderId="138" xfId="0" applyFont="1" applyFill="1" applyBorder="1" applyAlignment="1">
      <alignment horizontal="right" vertical="center"/>
    </xf>
    <xf numFmtId="0" fontId="100" fillId="0" borderId="136" xfId="0" applyFont="1" applyFill="1" applyBorder="1" applyAlignment="1">
      <alignment horizontal="right" vertical="center"/>
    </xf>
    <xf numFmtId="0" fontId="100" fillId="0" borderId="163" xfId="0" applyFont="1" applyFill="1" applyBorder="1" applyAlignment="1">
      <alignment horizontal="right" vertical="center"/>
    </xf>
    <xf numFmtId="0" fontId="100" fillId="0" borderId="206" xfId="0" applyFont="1" applyFill="1" applyBorder="1" applyAlignment="1">
      <alignment horizontal="center" vertical="center" wrapText="1"/>
    </xf>
    <xf numFmtId="0" fontId="100" fillId="0" borderId="140" xfId="0" applyFont="1" applyFill="1" applyBorder="1" applyAlignment="1">
      <alignment horizontal="center" vertical="center" wrapText="1"/>
    </xf>
    <xf numFmtId="0" fontId="100" fillId="0" borderId="207" xfId="0" applyFont="1" applyFill="1" applyBorder="1" applyAlignment="1">
      <alignment horizontal="center" vertical="center" wrapText="1"/>
    </xf>
    <xf numFmtId="0" fontId="100" fillId="0" borderId="208" xfId="0" applyFont="1" applyFill="1" applyBorder="1" applyAlignment="1">
      <alignment horizontal="center" vertical="center" wrapText="1"/>
    </xf>
    <xf numFmtId="0" fontId="100" fillId="0" borderId="199" xfId="0" applyFont="1" applyFill="1" applyBorder="1" applyAlignment="1">
      <alignment horizontal="center" vertical="center" wrapText="1"/>
    </xf>
    <xf numFmtId="0" fontId="100" fillId="0" borderId="209" xfId="0" applyFont="1" applyFill="1" applyBorder="1" applyAlignment="1">
      <alignment horizontal="center" vertical="center" wrapText="1"/>
    </xf>
    <xf numFmtId="0" fontId="48" fillId="0" borderId="150" xfId="0" applyFont="1" applyFill="1" applyBorder="1" applyAlignment="1">
      <alignment horizontal="center" vertical="center"/>
    </xf>
    <xf numFmtId="0" fontId="100" fillId="0" borderId="138" xfId="0" applyFont="1" applyFill="1" applyBorder="1" applyAlignment="1">
      <alignment horizontal="center" vertical="center" wrapText="1"/>
    </xf>
    <xf numFmtId="0" fontId="100" fillId="0" borderId="210" xfId="0" applyFont="1" applyFill="1" applyBorder="1" applyAlignment="1">
      <alignment horizontal="center" vertical="center" wrapText="1"/>
    </xf>
    <xf numFmtId="0" fontId="100" fillId="0" borderId="211" xfId="0" applyFont="1" applyFill="1" applyBorder="1" applyAlignment="1">
      <alignment horizontal="center" vertical="center" wrapText="1"/>
    </xf>
    <xf numFmtId="0" fontId="100" fillId="0" borderId="168" xfId="0" applyFont="1" applyFill="1" applyBorder="1" applyAlignment="1">
      <alignment horizontal="center" vertical="center" wrapText="1"/>
    </xf>
    <xf numFmtId="0" fontId="100" fillId="0" borderId="212" xfId="0" applyFont="1" applyFill="1" applyBorder="1" applyAlignment="1">
      <alignment horizontal="center" vertical="center" wrapText="1"/>
    </xf>
    <xf numFmtId="0" fontId="100" fillId="0" borderId="193" xfId="0" applyFont="1" applyFill="1" applyBorder="1" applyAlignment="1">
      <alignment horizontal="right" vertical="center"/>
    </xf>
    <xf numFmtId="0" fontId="100" fillId="0" borderId="153" xfId="0" applyFont="1" applyFill="1" applyBorder="1" applyAlignment="1">
      <alignment horizontal="right" vertical="center"/>
    </xf>
    <xf numFmtId="0" fontId="100" fillId="0" borderId="164" xfId="0" applyFont="1" applyFill="1" applyBorder="1" applyAlignment="1">
      <alignment horizontal="right" vertical="center"/>
    </xf>
    <xf numFmtId="0" fontId="100" fillId="0" borderId="165" xfId="0" applyFont="1" applyFill="1" applyBorder="1" applyAlignment="1">
      <alignment horizontal="right" vertical="center"/>
    </xf>
    <xf numFmtId="0" fontId="100" fillId="0" borderId="0" xfId="0" applyFont="1" applyFill="1" applyBorder="1" applyAlignment="1">
      <alignment horizontal="right" vertical="center"/>
    </xf>
    <xf numFmtId="0" fontId="48" fillId="0" borderId="186" xfId="0" applyFont="1" applyFill="1" applyBorder="1" applyAlignment="1">
      <alignment vertical="center" wrapText="1"/>
    </xf>
    <xf numFmtId="0" fontId="48" fillId="0" borderId="187" xfId="0" applyFont="1" applyFill="1" applyBorder="1" applyAlignment="1">
      <alignment vertical="center" wrapText="1"/>
    </xf>
    <xf numFmtId="0" fontId="48" fillId="0" borderId="188" xfId="0" applyFont="1" applyFill="1" applyBorder="1" applyAlignment="1">
      <alignment vertical="center" wrapText="1"/>
    </xf>
    <xf numFmtId="0" fontId="48" fillId="0" borderId="10" xfId="0" applyFont="1" applyFill="1" applyBorder="1" applyAlignment="1">
      <alignment horizontal="center" vertical="center" wrapText="1"/>
    </xf>
    <xf numFmtId="0" fontId="48" fillId="0" borderId="213" xfId="0" applyFont="1" applyFill="1" applyBorder="1" applyAlignment="1">
      <alignment horizontal="center" vertical="center" wrapText="1"/>
    </xf>
    <xf numFmtId="0" fontId="48" fillId="0" borderId="214" xfId="0" applyFont="1" applyFill="1" applyBorder="1" applyAlignment="1">
      <alignment horizontal="center" vertical="center" wrapText="1"/>
    </xf>
    <xf numFmtId="0" fontId="48" fillId="0" borderId="215"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216" xfId="0" applyFont="1" applyFill="1" applyBorder="1" applyAlignment="1">
      <alignment horizontal="center" vertical="center" wrapText="1"/>
    </xf>
    <xf numFmtId="0" fontId="48" fillId="0" borderId="145" xfId="0" applyFont="1" applyFill="1" applyBorder="1" applyAlignment="1">
      <alignment horizontal="center" vertical="center" wrapText="1"/>
    </xf>
    <xf numFmtId="0" fontId="48" fillId="0" borderId="147" xfId="0" applyFont="1" applyFill="1" applyBorder="1" applyAlignment="1">
      <alignment horizontal="center" vertical="center" wrapText="1"/>
    </xf>
    <xf numFmtId="0" fontId="100" fillId="0" borderId="163" xfId="0" applyFont="1" applyFill="1" applyBorder="1" applyAlignment="1">
      <alignment horizontal="center" vertical="center"/>
    </xf>
    <xf numFmtId="0" fontId="48" fillId="0" borderId="217" xfId="0" applyFont="1" applyFill="1" applyBorder="1" applyAlignment="1">
      <alignment horizontal="right" vertical="center" wrapText="1"/>
    </xf>
    <xf numFmtId="0" fontId="48" fillId="0" borderId="218" xfId="0" applyFont="1" applyFill="1" applyBorder="1" applyAlignment="1">
      <alignment horizontal="right" vertical="center" wrapText="1"/>
    </xf>
    <xf numFmtId="0" fontId="48" fillId="0" borderId="199" xfId="0" applyFont="1" applyFill="1" applyBorder="1" applyAlignment="1">
      <alignment horizontal="right" vertical="center" wrapText="1"/>
    </xf>
    <xf numFmtId="0" fontId="48" fillId="0" borderId="200" xfId="0" applyFont="1" applyFill="1" applyBorder="1" applyAlignment="1">
      <alignment horizontal="right" vertical="center" wrapText="1"/>
    </xf>
    <xf numFmtId="0" fontId="48" fillId="0" borderId="219" xfId="0" applyFont="1" applyFill="1" applyBorder="1" applyAlignment="1">
      <alignment horizontal="right" vertical="center" wrapText="1"/>
    </xf>
    <xf numFmtId="0" fontId="100" fillId="0" borderId="203" xfId="0" applyFont="1" applyFill="1" applyBorder="1" applyAlignment="1">
      <alignment horizontal="center" vertical="center" wrapText="1"/>
    </xf>
    <xf numFmtId="0" fontId="100" fillId="0" borderId="200" xfId="0" applyFont="1" applyFill="1" applyBorder="1" applyAlignment="1">
      <alignment horizontal="center" vertical="center" wrapText="1"/>
    </xf>
    <xf numFmtId="0" fontId="100" fillId="0" borderId="157" xfId="0" applyFont="1" applyFill="1" applyBorder="1" applyAlignment="1">
      <alignment horizontal="center" vertical="center" wrapText="1"/>
    </xf>
    <xf numFmtId="0" fontId="100" fillId="0" borderId="159" xfId="0" applyFont="1" applyFill="1" applyBorder="1" applyAlignment="1">
      <alignment horizontal="center" vertical="center" wrapText="1"/>
    </xf>
    <xf numFmtId="0" fontId="100" fillId="0" borderId="136" xfId="0" applyFont="1" applyFill="1" applyBorder="1" applyAlignment="1">
      <alignment horizontal="center" vertical="center" wrapText="1"/>
    </xf>
    <xf numFmtId="0" fontId="100" fillId="0" borderId="220" xfId="0" applyFont="1" applyFill="1" applyBorder="1" applyAlignment="1">
      <alignment horizontal="center" vertical="center" wrapText="1"/>
    </xf>
    <xf numFmtId="0" fontId="100" fillId="0" borderId="221" xfId="0" applyFont="1" applyFill="1" applyBorder="1" applyAlignment="1">
      <alignment horizontal="center" vertical="center" wrapText="1"/>
    </xf>
    <xf numFmtId="0" fontId="100" fillId="0" borderId="155" xfId="0" applyFont="1" applyFill="1" applyBorder="1" applyAlignment="1">
      <alignment horizontal="center" vertical="center" wrapText="1"/>
    </xf>
    <xf numFmtId="0" fontId="48" fillId="0" borderId="222" xfId="0" applyFont="1" applyFill="1" applyBorder="1" applyAlignment="1">
      <alignment horizontal="center" vertical="center" wrapText="1"/>
    </xf>
    <xf numFmtId="0" fontId="48" fillId="0" borderId="223" xfId="0" applyFont="1" applyFill="1" applyBorder="1" applyAlignment="1">
      <alignment horizontal="center" vertical="center" wrapText="1"/>
    </xf>
    <xf numFmtId="0" fontId="48" fillId="0" borderId="224" xfId="0" applyFont="1" applyFill="1" applyBorder="1" applyAlignment="1">
      <alignment horizontal="center" vertical="center" wrapText="1"/>
    </xf>
    <xf numFmtId="0" fontId="100" fillId="0" borderId="204" xfId="0" applyFont="1" applyFill="1" applyBorder="1" applyAlignment="1">
      <alignment horizontal="center" vertical="center" wrapText="1"/>
    </xf>
    <xf numFmtId="0" fontId="100" fillId="0" borderId="161" xfId="0" applyFont="1" applyFill="1" applyBorder="1" applyAlignment="1">
      <alignment horizontal="center" vertical="center" wrapText="1"/>
    </xf>
    <xf numFmtId="0" fontId="100" fillId="0" borderId="225" xfId="0" applyFont="1" applyFill="1" applyBorder="1" applyAlignment="1">
      <alignment horizontal="center" vertical="center" wrapText="1"/>
    </xf>
    <xf numFmtId="0" fontId="100" fillId="0" borderId="141" xfId="0" applyFont="1" applyFill="1" applyBorder="1" applyAlignment="1">
      <alignment horizontal="center" vertical="center" wrapText="1"/>
    </xf>
    <xf numFmtId="0" fontId="100" fillId="0" borderId="217" xfId="0" applyFont="1" applyFill="1" applyBorder="1" applyAlignment="1">
      <alignment horizontal="center" vertical="center" wrapText="1"/>
    </xf>
    <xf numFmtId="0" fontId="48" fillId="0" borderId="152" xfId="0" applyFont="1" applyFill="1" applyBorder="1" applyAlignment="1">
      <alignment horizontal="center" vertical="center" wrapText="1"/>
    </xf>
    <xf numFmtId="0" fontId="48" fillId="0" borderId="153" xfId="0" applyFont="1" applyFill="1" applyBorder="1" applyAlignment="1">
      <alignment horizontal="center" vertical="center" wrapText="1"/>
    </xf>
    <xf numFmtId="0" fontId="48" fillId="0" borderId="164" xfId="0" applyFont="1" applyFill="1" applyBorder="1" applyAlignment="1">
      <alignment horizontal="center" vertical="center" wrapText="1"/>
    </xf>
    <xf numFmtId="0" fontId="48" fillId="0" borderId="193" xfId="0" applyFont="1" applyFill="1" applyBorder="1" applyAlignment="1">
      <alignment horizontal="center" vertical="center" wrapText="1"/>
    </xf>
    <xf numFmtId="0" fontId="100" fillId="0" borderId="169" xfId="0" applyFont="1" applyFill="1" applyBorder="1" applyAlignment="1">
      <alignment horizontal="center" vertical="center" wrapText="1"/>
    </xf>
    <xf numFmtId="0" fontId="100" fillId="0" borderId="176" xfId="0" applyFont="1" applyFill="1" applyBorder="1" applyAlignment="1">
      <alignment horizontal="center" vertical="center"/>
    </xf>
    <xf numFmtId="0" fontId="100" fillId="0" borderId="0" xfId="0" applyFont="1" applyFill="1" applyBorder="1" applyAlignment="1">
      <alignment horizontal="center" vertical="center"/>
    </xf>
    <xf numFmtId="0" fontId="100" fillId="0" borderId="134" xfId="0" applyFont="1" applyFill="1" applyBorder="1" applyAlignment="1">
      <alignment horizontal="center" vertical="center"/>
    </xf>
    <xf numFmtId="0" fontId="100" fillId="0" borderId="150" xfId="0" applyFont="1" applyFill="1" applyBorder="1" applyAlignment="1">
      <alignment horizontal="center" vertical="center"/>
    </xf>
    <xf numFmtId="0" fontId="100" fillId="0" borderId="133" xfId="0" applyFont="1" applyFill="1" applyBorder="1" applyAlignment="1">
      <alignment horizontal="center" vertical="center"/>
    </xf>
    <xf numFmtId="0" fontId="48" fillId="0" borderId="172" xfId="0" applyFont="1" applyFill="1" applyBorder="1" applyAlignment="1">
      <alignment horizontal="left" vertical="center" wrapText="1"/>
    </xf>
    <xf numFmtId="0" fontId="48" fillId="0" borderId="138" xfId="0" applyFont="1" applyFill="1" applyBorder="1" applyAlignment="1">
      <alignment horizontal="left" vertical="center" wrapText="1"/>
    </xf>
    <xf numFmtId="0" fontId="48" fillId="0" borderId="136" xfId="0" applyFont="1" applyFill="1" applyBorder="1" applyAlignment="1">
      <alignment horizontal="left" vertical="center" wrapText="1"/>
    </xf>
    <xf numFmtId="0" fontId="48" fillId="0" borderId="172" xfId="0" applyFont="1" applyFill="1" applyBorder="1" applyAlignment="1">
      <alignment vertical="center" wrapText="1"/>
    </xf>
    <xf numFmtId="0" fontId="48" fillId="0" borderId="138" xfId="0" applyFont="1" applyFill="1" applyBorder="1" applyAlignment="1">
      <alignment vertical="center" wrapText="1"/>
    </xf>
    <xf numFmtId="0" fontId="48" fillId="0" borderId="136" xfId="0" applyFont="1" applyFill="1" applyBorder="1" applyAlignment="1">
      <alignment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9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201" xfId="0" applyFont="1" applyFill="1" applyBorder="1" applyAlignment="1">
      <alignment horizontal="center" vertical="center" wrapText="1"/>
    </xf>
    <xf numFmtId="0" fontId="49" fillId="0" borderId="216" xfId="0" applyFont="1" applyFill="1" applyBorder="1" applyAlignment="1">
      <alignment horizontal="center" vertical="center" wrapText="1"/>
    </xf>
    <xf numFmtId="0" fontId="49" fillId="0" borderId="146" xfId="0" applyFont="1" applyFill="1" applyBorder="1" applyAlignment="1">
      <alignment horizontal="center" vertical="center" wrapText="1"/>
    </xf>
    <xf numFmtId="0" fontId="49" fillId="0" borderId="202" xfId="0" applyFont="1" applyFill="1" applyBorder="1" applyAlignment="1">
      <alignment horizontal="center" vertical="center" wrapText="1"/>
    </xf>
    <xf numFmtId="0" fontId="48" fillId="0" borderId="226" xfId="0" applyFont="1" applyFill="1" applyBorder="1" applyAlignment="1">
      <alignment horizontal="center" vertical="center" wrapText="1"/>
    </xf>
    <xf numFmtId="0" fontId="51" fillId="0" borderId="198" xfId="0" applyFont="1" applyFill="1" applyBorder="1" applyAlignment="1">
      <alignment horizontal="center" vertical="center" wrapText="1" shrinkToFit="1"/>
    </xf>
    <xf numFmtId="0" fontId="51" fillId="0" borderId="15" xfId="0" applyFont="1" applyFill="1" applyBorder="1" applyAlignment="1">
      <alignment horizontal="center" vertical="center" wrapText="1" shrinkToFit="1"/>
    </xf>
    <xf numFmtId="0" fontId="51" fillId="0" borderId="226" xfId="0" applyFont="1" applyFill="1" applyBorder="1" applyAlignment="1">
      <alignment horizontal="center" vertical="center" wrapText="1" shrinkToFit="1"/>
    </xf>
    <xf numFmtId="0" fontId="51" fillId="0" borderId="0" xfId="0" applyFont="1" applyFill="1" applyBorder="1" applyAlignment="1">
      <alignment horizontal="center" vertical="center" wrapText="1" shrinkToFit="1"/>
    </xf>
    <xf numFmtId="0" fontId="51" fillId="0" borderId="144" xfId="0" applyFont="1" applyFill="1" applyBorder="1" applyAlignment="1">
      <alignment horizontal="center" vertical="center" wrapText="1" shrinkToFit="1"/>
    </xf>
    <xf numFmtId="0" fontId="51" fillId="0" borderId="146" xfId="0" applyFont="1" applyFill="1" applyBorder="1" applyAlignment="1">
      <alignment horizontal="center" vertical="center" wrapText="1" shrinkToFit="1"/>
    </xf>
    <xf numFmtId="0" fontId="102" fillId="0" borderId="198"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2" fillId="0" borderId="16" xfId="0" applyFont="1" applyFill="1" applyBorder="1" applyAlignment="1">
      <alignment horizontal="center" vertical="center" wrapText="1"/>
    </xf>
    <xf numFmtId="0" fontId="48" fillId="0" borderId="78" xfId="0" applyFont="1" applyFill="1" applyBorder="1" applyAlignment="1">
      <alignment horizontal="center" vertical="center" wrapText="1"/>
    </xf>
    <xf numFmtId="0" fontId="52" fillId="0" borderId="78" xfId="0" applyFont="1" applyFill="1" applyBorder="1" applyAlignment="1">
      <alignment horizontal="center" vertical="center" wrapText="1"/>
    </xf>
    <xf numFmtId="0" fontId="49" fillId="0" borderId="78" xfId="0" applyFont="1" applyFill="1" applyBorder="1" applyAlignment="1">
      <alignment horizontal="center" vertical="center" wrapText="1"/>
    </xf>
    <xf numFmtId="0" fontId="101" fillId="0" borderId="78" xfId="0" applyFont="1" applyFill="1" applyBorder="1" applyAlignment="1">
      <alignment horizontal="center" vertical="center" wrapText="1"/>
    </xf>
    <xf numFmtId="0" fontId="48" fillId="0" borderId="227" xfId="0" applyFont="1" applyFill="1" applyBorder="1" applyAlignment="1">
      <alignment horizontal="center" vertical="center" wrapText="1"/>
    </xf>
    <xf numFmtId="0" fontId="48" fillId="0" borderId="220" xfId="0" applyFont="1" applyFill="1" applyBorder="1" applyAlignment="1">
      <alignment horizontal="center" vertical="center" wrapText="1"/>
    </xf>
    <xf numFmtId="0" fontId="48" fillId="0" borderId="155" xfId="0" applyFont="1" applyFill="1" applyBorder="1" applyAlignment="1">
      <alignment horizontal="center" vertical="center" wrapText="1"/>
    </xf>
    <xf numFmtId="0" fontId="48" fillId="0" borderId="157" xfId="0" applyFont="1" applyFill="1" applyBorder="1" applyAlignment="1">
      <alignment horizontal="center" vertical="center" wrapText="1"/>
    </xf>
    <xf numFmtId="0" fontId="48" fillId="0" borderId="141" xfId="0" applyFont="1" applyFill="1" applyBorder="1" applyAlignment="1">
      <alignment horizontal="center" vertical="center" wrapText="1"/>
    </xf>
    <xf numFmtId="0" fontId="48" fillId="0" borderId="143" xfId="0" applyFont="1" applyFill="1" applyBorder="1" applyAlignment="1">
      <alignment horizontal="center" vertical="center" wrapText="1"/>
    </xf>
    <xf numFmtId="0" fontId="48" fillId="0" borderId="225" xfId="0" applyFont="1" applyFill="1" applyBorder="1" applyAlignment="1">
      <alignment horizontal="center" vertical="center" wrapText="1"/>
    </xf>
    <xf numFmtId="0" fontId="48" fillId="0" borderId="225" xfId="0" applyFont="1" applyFill="1" applyBorder="1" applyAlignment="1">
      <alignment horizontal="left" vertical="top" wrapText="1"/>
    </xf>
    <xf numFmtId="0" fontId="48" fillId="0" borderId="140" xfId="0" applyFont="1" applyFill="1" applyBorder="1" applyAlignment="1">
      <alignment horizontal="left" vertical="top" wrapText="1"/>
    </xf>
    <xf numFmtId="0" fontId="48" fillId="0" borderId="143" xfId="0" applyFont="1" applyFill="1" applyBorder="1" applyAlignment="1">
      <alignment horizontal="left" vertical="top" wrapText="1"/>
    </xf>
    <xf numFmtId="0" fontId="100" fillId="0" borderId="225" xfId="0" applyFont="1" applyFill="1" applyBorder="1" applyAlignment="1">
      <alignment horizontal="center" vertical="center" shrinkToFit="1"/>
    </xf>
    <xf numFmtId="0" fontId="100" fillId="0" borderId="207" xfId="0" applyFont="1" applyFill="1" applyBorder="1" applyAlignment="1">
      <alignment horizontal="center" vertical="center" shrinkToFit="1"/>
    </xf>
    <xf numFmtId="0" fontId="100" fillId="0" borderId="228" xfId="0" applyFont="1" applyFill="1" applyBorder="1" applyAlignment="1">
      <alignment horizontal="center" vertical="center" wrapText="1"/>
    </xf>
    <xf numFmtId="0" fontId="48" fillId="0" borderId="172" xfId="0" applyFont="1" applyFill="1" applyBorder="1" applyAlignment="1">
      <alignment horizontal="center" vertical="top" wrapText="1"/>
    </xf>
    <xf numFmtId="0" fontId="48" fillId="0" borderId="138" xfId="0" applyFont="1" applyFill="1" applyBorder="1" applyAlignment="1">
      <alignment horizontal="center" vertical="top" wrapText="1"/>
    </xf>
    <xf numFmtId="0" fontId="48" fillId="0" borderId="136" xfId="0" applyFont="1" applyFill="1" applyBorder="1" applyAlignment="1">
      <alignment horizontal="center" vertical="top" wrapText="1"/>
    </xf>
    <xf numFmtId="0" fontId="100" fillId="0" borderId="78" xfId="0" applyFont="1" applyFill="1" applyBorder="1" applyAlignment="1">
      <alignment horizontal="center" vertical="center" shrinkToFit="1"/>
    </xf>
    <xf numFmtId="0" fontId="48" fillId="0" borderId="12" xfId="0" applyFont="1" applyFill="1" applyBorder="1" applyAlignment="1">
      <alignment horizontal="center" vertical="top" wrapText="1"/>
    </xf>
    <xf numFmtId="0" fontId="48" fillId="0" borderId="11" xfId="0" applyFont="1" applyFill="1" applyBorder="1" applyAlignment="1">
      <alignment horizontal="center" vertical="top" wrapText="1"/>
    </xf>
    <xf numFmtId="0" fontId="48" fillId="0" borderId="13" xfId="0" applyFont="1" applyFill="1" applyBorder="1" applyAlignment="1">
      <alignment horizontal="center" vertical="top" wrapText="1"/>
    </xf>
    <xf numFmtId="0" fontId="100" fillId="0" borderId="143" xfId="0" applyFont="1" applyFill="1" applyBorder="1" applyAlignment="1">
      <alignment horizontal="center" vertical="center" wrapText="1"/>
    </xf>
    <xf numFmtId="0" fontId="100" fillId="0" borderId="139" xfId="0" applyFont="1" applyFill="1" applyBorder="1" applyAlignment="1">
      <alignment horizontal="center" vertical="center" wrapText="1"/>
    </xf>
    <xf numFmtId="0" fontId="100" fillId="0" borderId="224" xfId="0" applyFont="1" applyFill="1" applyBorder="1" applyAlignment="1">
      <alignment horizontal="center" vertical="center" wrapText="1"/>
    </xf>
    <xf numFmtId="0" fontId="100" fillId="0" borderId="13" xfId="0" applyFont="1" applyFill="1" applyBorder="1" applyAlignment="1">
      <alignment horizontal="center" vertical="center" wrapText="1"/>
    </xf>
    <xf numFmtId="0" fontId="48" fillId="0" borderId="177" xfId="0" applyFont="1" applyFill="1" applyBorder="1" applyAlignment="1">
      <alignment horizontal="center" vertical="center"/>
    </xf>
    <xf numFmtId="0" fontId="48" fillId="0" borderId="178" xfId="0" applyFont="1" applyFill="1" applyBorder="1" applyAlignment="1">
      <alignment horizontal="center" vertical="center"/>
    </xf>
    <xf numFmtId="0" fontId="48" fillId="0" borderId="179" xfId="0" applyFont="1" applyFill="1" applyBorder="1" applyAlignment="1">
      <alignment horizontal="center" vertical="center"/>
    </xf>
    <xf numFmtId="0" fontId="48" fillId="0" borderId="229" xfId="0" applyFont="1" applyFill="1" applyBorder="1" applyAlignment="1">
      <alignment horizontal="center" vertical="center"/>
    </xf>
    <xf numFmtId="0" fontId="48" fillId="0" borderId="190" xfId="0" applyFont="1" applyFill="1" applyBorder="1" applyAlignment="1">
      <alignment horizontal="center" vertical="center"/>
    </xf>
    <xf numFmtId="0" fontId="100" fillId="0" borderId="152" xfId="0" applyFont="1" applyFill="1" applyBorder="1" applyAlignment="1">
      <alignment horizontal="center" vertical="center"/>
    </xf>
    <xf numFmtId="0" fontId="100" fillId="0" borderId="153" xfId="0" applyFont="1" applyFill="1" applyBorder="1" applyAlignment="1">
      <alignment horizontal="center" vertical="center"/>
    </xf>
    <xf numFmtId="0" fontId="100" fillId="0" borderId="164" xfId="0" applyFont="1" applyFill="1" applyBorder="1" applyAlignment="1">
      <alignment horizontal="center" vertical="center"/>
    </xf>
    <xf numFmtId="0" fontId="100" fillId="0" borderId="193" xfId="0" applyFont="1" applyFill="1" applyBorder="1" applyAlignment="1">
      <alignment horizontal="center" vertical="center"/>
    </xf>
    <xf numFmtId="0" fontId="100" fillId="0" borderId="165" xfId="0" applyFont="1" applyFill="1" applyBorder="1" applyAlignment="1">
      <alignment horizontal="center" vertical="center"/>
    </xf>
    <xf numFmtId="0" fontId="27" fillId="0" borderId="98" xfId="0" applyFont="1" applyBorder="1" applyAlignment="1">
      <alignment horizontal="left" vertical="center"/>
    </xf>
    <xf numFmtId="0" fontId="27" fillId="0" borderId="19" xfId="0" applyFont="1" applyBorder="1" applyAlignment="1">
      <alignment horizontal="left" vertical="center"/>
    </xf>
    <xf numFmtId="0" fontId="27" fillId="0" borderId="230" xfId="0" applyFont="1" applyBorder="1" applyAlignment="1">
      <alignment horizontal="left" vertical="center"/>
    </xf>
    <xf numFmtId="0" fontId="27" fillId="0" borderId="101" xfId="0" applyFont="1" applyBorder="1" applyAlignment="1">
      <alignment horizontal="left" vertical="center"/>
    </xf>
    <xf numFmtId="0" fontId="26" fillId="0" borderId="172" xfId="0" applyFont="1" applyBorder="1" applyAlignment="1">
      <alignment horizontal="center" vertical="center"/>
    </xf>
    <xf numFmtId="0" fontId="26" fillId="0" borderId="136" xfId="0" applyFont="1" applyBorder="1" applyAlignment="1">
      <alignment horizontal="center" vertical="center"/>
    </xf>
    <xf numFmtId="0" fontId="47" fillId="0" borderId="172" xfId="0" applyFont="1" applyBorder="1" applyAlignment="1">
      <alignment horizontal="center" vertical="center"/>
    </xf>
    <xf numFmtId="0" fontId="47" fillId="0" borderId="136" xfId="0" applyFont="1" applyBorder="1" applyAlignment="1">
      <alignment horizontal="center" vertical="center"/>
    </xf>
    <xf numFmtId="0" fontId="27" fillId="0" borderId="98" xfId="0" applyFont="1" applyBorder="1" applyAlignment="1">
      <alignment horizontal="center" vertical="center"/>
    </xf>
    <xf numFmtId="0" fontId="27" fillId="0" borderId="19" xfId="0" applyFont="1" applyBorder="1" applyAlignment="1">
      <alignment horizontal="center" vertical="center"/>
    </xf>
    <xf numFmtId="0" fontId="27" fillId="0" borderId="97" xfId="0" applyFont="1" applyBorder="1" applyAlignment="1">
      <alignment horizontal="center" vertical="center"/>
    </xf>
    <xf numFmtId="0" fontId="27" fillId="0" borderId="29" xfId="0" applyFont="1" applyBorder="1" applyAlignment="1">
      <alignment horizontal="center" vertical="center"/>
    </xf>
    <xf numFmtId="0" fontId="27" fillId="0" borderId="230" xfId="0" applyFont="1" applyBorder="1" applyAlignment="1">
      <alignment horizontal="center" vertical="center"/>
    </xf>
    <xf numFmtId="0" fontId="27" fillId="0" borderId="101" xfId="0" applyFont="1" applyBorder="1" applyAlignment="1">
      <alignment horizontal="center" vertical="center"/>
    </xf>
    <xf numFmtId="0" fontId="27" fillId="0" borderId="97" xfId="0" applyFont="1" applyBorder="1" applyAlignment="1">
      <alignment horizontal="left" vertical="center"/>
    </xf>
    <xf numFmtId="0" fontId="27" fillId="0" borderId="29" xfId="0" applyFont="1" applyBorder="1" applyAlignment="1">
      <alignment horizontal="left" vertical="center"/>
    </xf>
    <xf numFmtId="0" fontId="0" fillId="0" borderId="33" xfId="0" applyBorder="1" applyAlignment="1">
      <alignment horizontal="center" vertical="center"/>
    </xf>
    <xf numFmtId="0" fontId="0" fillId="0" borderId="138" xfId="0" applyBorder="1" applyAlignment="1">
      <alignment horizontal="center" vertical="center"/>
    </xf>
    <xf numFmtId="0" fontId="0" fillId="0" borderId="136" xfId="0" applyBorder="1" applyAlignment="1">
      <alignment horizontal="center" vertical="center"/>
    </xf>
    <xf numFmtId="0" fontId="25" fillId="0" borderId="11" xfId="0" applyFont="1" applyBorder="1" applyAlignment="1">
      <alignment horizontal="center" vertical="center"/>
    </xf>
    <xf numFmtId="0" fontId="3" fillId="0" borderId="0" xfId="0" applyFont="1" applyBorder="1" applyAlignment="1">
      <alignment horizontal="center" shrinkToFit="1"/>
    </xf>
    <xf numFmtId="0" fontId="3" fillId="0" borderId="17"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justify" vertical="center"/>
    </xf>
    <xf numFmtId="0" fontId="3" fillId="0" borderId="0" xfId="0" applyFont="1" applyBorder="1" applyAlignment="1">
      <alignment horizontal="left" vertical="top" wrapText="1"/>
    </xf>
    <xf numFmtId="0" fontId="3" fillId="0" borderId="92" xfId="0" applyFont="1" applyBorder="1" applyAlignment="1">
      <alignment horizontal="left" vertical="top" wrapText="1"/>
    </xf>
    <xf numFmtId="0" fontId="15" fillId="0" borderId="0" xfId="0" applyFont="1" applyAlignment="1">
      <alignment horizontal="distributed"/>
    </xf>
    <xf numFmtId="0" fontId="3" fillId="0" borderId="0" xfId="0" applyFont="1" applyAlignment="1">
      <alignment horizontal="center"/>
    </xf>
    <xf numFmtId="0" fontId="3" fillId="0" borderId="0" xfId="0" applyFont="1" applyBorder="1" applyAlignment="1">
      <alignment horizontal="center"/>
    </xf>
    <xf numFmtId="0" fontId="7" fillId="0" borderId="0" xfId="0" applyFont="1" applyBorder="1" applyAlignment="1">
      <alignment horizontal="left"/>
    </xf>
    <xf numFmtId="0" fontId="6" fillId="0" borderId="92" xfId="0" applyFont="1" applyBorder="1" applyAlignment="1">
      <alignment horizontal="center" vertical="center"/>
    </xf>
    <xf numFmtId="38" fontId="0" fillId="0" borderId="126" xfId="49" applyFont="1" applyFill="1" applyBorder="1" applyAlignment="1">
      <alignment horizontal="center" vertical="center" shrinkToFit="1"/>
    </xf>
    <xf numFmtId="38" fontId="35" fillId="0" borderId="0" xfId="49" applyFont="1" applyFill="1" applyBorder="1" applyAlignment="1">
      <alignment horizontal="distributed"/>
    </xf>
    <xf numFmtId="38" fontId="30" fillId="0" borderId="0" xfId="49" applyFont="1" applyFill="1" applyAlignment="1">
      <alignment horizontal="distributed"/>
    </xf>
    <xf numFmtId="38" fontId="3" fillId="0" borderId="121" xfId="49" applyFont="1" applyFill="1" applyBorder="1" applyAlignment="1">
      <alignment horizontal="distributed"/>
    </xf>
    <xf numFmtId="0" fontId="3" fillId="0" borderId="125" xfId="0" applyFont="1" applyFill="1" applyBorder="1" applyAlignment="1">
      <alignment horizontal="distributed"/>
    </xf>
    <xf numFmtId="0" fontId="3" fillId="0" borderId="231" xfId="0" applyFont="1" applyFill="1" applyBorder="1" applyAlignment="1">
      <alignment horizontal="distributed"/>
    </xf>
    <xf numFmtId="38" fontId="3" fillId="0" borderId="230" xfId="49" applyFont="1" applyFill="1" applyBorder="1" applyAlignment="1">
      <alignment horizontal="distributed"/>
    </xf>
    <xf numFmtId="38" fontId="3" fillId="0" borderId="102" xfId="49" applyFont="1" applyFill="1" applyBorder="1" applyAlignment="1">
      <alignment horizontal="distributed"/>
    </xf>
    <xf numFmtId="38" fontId="3" fillId="0" borderId="97" xfId="49" applyFont="1" applyFill="1" applyBorder="1" applyAlignment="1">
      <alignment horizontal="distributed"/>
    </xf>
    <xf numFmtId="38" fontId="3" fillId="0" borderId="28" xfId="49" applyFont="1" applyFill="1" applyBorder="1" applyAlignment="1">
      <alignment horizontal="distributed"/>
    </xf>
    <xf numFmtId="38" fontId="3" fillId="0" borderId="126" xfId="49" applyFont="1" applyFill="1" applyBorder="1" applyAlignment="1">
      <alignment horizontal="distributed"/>
    </xf>
    <xf numFmtId="0" fontId="3" fillId="0" borderId="232" xfId="0" applyFont="1" applyFill="1" applyBorder="1" applyAlignment="1">
      <alignment horizontal="distributed"/>
    </xf>
    <xf numFmtId="38" fontId="0" fillId="0" borderId="125" xfId="49" applyFont="1" applyFill="1" applyBorder="1" applyAlignment="1">
      <alignment horizontal="center" vertical="center" shrinkToFit="1"/>
    </xf>
    <xf numFmtId="38" fontId="97" fillId="33" borderId="233" xfId="49" applyFont="1" applyFill="1" applyBorder="1" applyAlignment="1">
      <alignment horizontal="center"/>
    </xf>
    <xf numFmtId="38" fontId="97" fillId="33" borderId="53" xfId="49" applyFont="1" applyFill="1" applyBorder="1" applyAlignment="1">
      <alignment horizontal="center"/>
    </xf>
    <xf numFmtId="38" fontId="97" fillId="33" borderId="51" xfId="49" applyFont="1" applyFill="1" applyBorder="1" applyAlignment="1">
      <alignment horizontal="center"/>
    </xf>
    <xf numFmtId="38" fontId="97" fillId="33" borderId="88" xfId="49" applyFont="1" applyFill="1" applyBorder="1" applyAlignment="1">
      <alignment horizontal="center"/>
    </xf>
    <xf numFmtId="38" fontId="3" fillId="0" borderId="234" xfId="49" applyFont="1" applyFill="1" applyBorder="1" applyAlignment="1">
      <alignment horizontal="distributed" indent="1"/>
    </xf>
    <xf numFmtId="38" fontId="3" fillId="0" borderId="235" xfId="49" applyFont="1" applyFill="1" applyBorder="1" applyAlignment="1">
      <alignment horizontal="distributed" indent="1"/>
    </xf>
    <xf numFmtId="38" fontId="97" fillId="33" borderId="122" xfId="49" applyFont="1" applyFill="1" applyBorder="1" applyAlignment="1">
      <alignment horizontal="center" shrinkToFit="1"/>
    </xf>
    <xf numFmtId="38" fontId="97" fillId="33" borderId="236" xfId="49" applyFont="1" applyFill="1" applyBorder="1" applyAlignment="1">
      <alignment horizontal="center" shrinkToFit="1"/>
    </xf>
    <xf numFmtId="38" fontId="97" fillId="33" borderId="237" xfId="49" applyFont="1" applyFill="1" applyBorder="1" applyAlignment="1">
      <alignment horizontal="center" shrinkToFit="1"/>
    </xf>
    <xf numFmtId="38" fontId="3" fillId="0" borderId="14" xfId="49" applyFont="1" applyFill="1" applyBorder="1" applyAlignment="1">
      <alignment horizontal="distributed" indent="1"/>
    </xf>
    <xf numFmtId="38" fontId="3" fillId="0" borderId="15" xfId="49" applyFont="1" applyFill="1" applyBorder="1" applyAlignment="1">
      <alignment horizontal="distributed" indent="1"/>
    </xf>
    <xf numFmtId="38" fontId="0" fillId="0" borderId="125" xfId="49" applyNumberFormat="1" applyFont="1" applyFill="1" applyBorder="1" applyAlignment="1">
      <alignment horizontal="center" vertical="center" shrinkToFit="1"/>
    </xf>
    <xf numFmtId="0" fontId="0" fillId="0" borderId="231" xfId="49" applyNumberFormat="1" applyFont="1" applyFill="1" applyBorder="1" applyAlignment="1">
      <alignment horizontal="center" vertical="center" shrinkToFit="1"/>
    </xf>
    <xf numFmtId="38" fontId="97" fillId="33" borderId="238" xfId="49" applyFont="1" applyFill="1" applyBorder="1" applyAlignment="1">
      <alignment horizontal="center"/>
    </xf>
    <xf numFmtId="38" fontId="97" fillId="33" borderId="239" xfId="49" applyFont="1" applyFill="1" applyBorder="1" applyAlignment="1">
      <alignment horizontal="center"/>
    </xf>
    <xf numFmtId="38" fontId="3" fillId="33" borderId="119" xfId="49" applyFont="1" applyFill="1" applyBorder="1" applyAlignment="1">
      <alignment horizontal="right"/>
    </xf>
    <xf numFmtId="0" fontId="3" fillId="33" borderId="240" xfId="0" applyFont="1" applyFill="1" applyBorder="1" applyAlignment="1">
      <alignment horizontal="right"/>
    </xf>
    <xf numFmtId="38" fontId="0" fillId="33" borderId="236" xfId="49" applyFont="1" applyFill="1" applyBorder="1" applyAlignment="1">
      <alignment horizontal="center" shrinkToFit="1"/>
    </xf>
    <xf numFmtId="38" fontId="97" fillId="33" borderId="241" xfId="49" applyFont="1" applyFill="1" applyBorder="1" applyAlignment="1">
      <alignment horizontal="center" shrinkToFit="1"/>
    </xf>
    <xf numFmtId="38" fontId="97" fillId="33" borderId="242" xfId="49" applyFont="1" applyFill="1" applyBorder="1" applyAlignment="1">
      <alignment horizontal="center" shrinkToFit="1"/>
    </xf>
    <xf numFmtId="38" fontId="97" fillId="33" borderId="243" xfId="49" applyFont="1" applyFill="1" applyBorder="1" applyAlignment="1">
      <alignment horizontal="center" shrinkToFit="1"/>
    </xf>
    <xf numFmtId="38" fontId="97" fillId="33" borderId="244" xfId="49" applyFont="1" applyFill="1" applyBorder="1" applyAlignment="1">
      <alignment horizontal="center" shrinkToFit="1"/>
    </xf>
    <xf numFmtId="38" fontId="97" fillId="33" borderId="245" xfId="49" applyFont="1" applyFill="1" applyBorder="1" applyAlignment="1">
      <alignment horizontal="center" shrinkToFit="1"/>
    </xf>
    <xf numFmtId="38" fontId="0" fillId="0" borderId="232" xfId="49" applyFont="1" applyFill="1" applyBorder="1" applyAlignment="1">
      <alignment horizontal="center" vertical="center" shrinkToFit="1"/>
    </xf>
    <xf numFmtId="38" fontId="3" fillId="0" borderId="119" xfId="49" applyFont="1" applyFill="1" applyBorder="1" applyAlignment="1">
      <alignment horizontal="right"/>
    </xf>
    <xf numFmtId="0" fontId="3" fillId="0" borderId="240" xfId="0" applyFont="1" applyFill="1" applyBorder="1" applyAlignment="1">
      <alignment horizontal="right"/>
    </xf>
    <xf numFmtId="0" fontId="3" fillId="0" borderId="246" xfId="0" applyFont="1" applyFill="1" applyBorder="1" applyAlignment="1">
      <alignment horizontal="right"/>
    </xf>
    <xf numFmtId="0" fontId="3" fillId="0" borderId="119" xfId="0" applyFont="1" applyFill="1" applyBorder="1" applyAlignment="1">
      <alignment horizontal="right"/>
    </xf>
    <xf numFmtId="0" fontId="3" fillId="33" borderId="119" xfId="0" applyFont="1" applyFill="1" applyBorder="1" applyAlignment="1">
      <alignment horizontal="right"/>
    </xf>
    <xf numFmtId="38" fontId="97" fillId="33" borderId="247" xfId="49" applyFont="1" applyFill="1" applyBorder="1" applyAlignment="1">
      <alignment horizontal="center"/>
    </xf>
    <xf numFmtId="38" fontId="97" fillId="33" borderId="248" xfId="49" applyFont="1" applyFill="1" applyBorder="1" applyAlignment="1">
      <alignment horizontal="center"/>
    </xf>
    <xf numFmtId="0" fontId="3" fillId="33" borderId="246" xfId="0" applyFont="1" applyFill="1" applyBorder="1" applyAlignment="1">
      <alignment horizontal="right"/>
    </xf>
    <xf numFmtId="38" fontId="3" fillId="0" borderId="11" xfId="49" applyFont="1" applyFill="1" applyBorder="1" applyAlignment="1">
      <alignment horizontal="right"/>
    </xf>
    <xf numFmtId="0" fontId="3" fillId="0" borderId="11" xfId="0" applyFont="1" applyFill="1" applyBorder="1" applyAlignment="1">
      <alignment horizontal="right"/>
    </xf>
    <xf numFmtId="0" fontId="3" fillId="0" borderId="25" xfId="0" applyFont="1" applyFill="1" applyBorder="1" applyAlignment="1">
      <alignment horizontal="right"/>
    </xf>
    <xf numFmtId="0" fontId="3" fillId="0" borderId="13" xfId="0" applyFont="1" applyFill="1" applyBorder="1" applyAlignment="1">
      <alignment horizontal="right"/>
    </xf>
    <xf numFmtId="38" fontId="32" fillId="0" borderId="249" xfId="49" applyFont="1" applyFill="1" applyBorder="1" applyAlignment="1">
      <alignment horizontal="distributed"/>
    </xf>
    <xf numFmtId="38" fontId="32" fillId="0" borderId="250" xfId="49" applyFont="1" applyFill="1" applyBorder="1" applyAlignment="1">
      <alignment horizontal="distributed"/>
    </xf>
    <xf numFmtId="38" fontId="32" fillId="0" borderId="11" xfId="49" applyFont="1" applyFill="1" applyBorder="1" applyAlignment="1">
      <alignment horizontal="center"/>
    </xf>
    <xf numFmtId="38" fontId="32" fillId="0" borderId="0" xfId="49" applyFont="1" applyFill="1" applyBorder="1" applyAlignment="1">
      <alignment horizontal="center"/>
    </xf>
    <xf numFmtId="38" fontId="3" fillId="0" borderId="249" xfId="49" applyFont="1" applyFill="1" applyBorder="1" applyAlignment="1">
      <alignment horizontal="distributed" vertical="center"/>
    </xf>
    <xf numFmtId="0" fontId="0" fillId="0" borderId="250" xfId="0" applyFont="1" applyFill="1" applyBorder="1" applyAlignment="1">
      <alignment horizontal="distributed" vertical="center"/>
    </xf>
    <xf numFmtId="38" fontId="32" fillId="0" borderId="121" xfId="49" applyFont="1" applyFill="1" applyBorder="1" applyAlignment="1">
      <alignment horizontal="distributed"/>
    </xf>
    <xf numFmtId="0" fontId="32" fillId="0" borderId="125" xfId="0" applyFont="1" applyFill="1" applyBorder="1" applyAlignment="1">
      <alignment horizontal="distributed"/>
    </xf>
    <xf numFmtId="0" fontId="32" fillId="0" borderId="231" xfId="0" applyFont="1" applyFill="1" applyBorder="1" applyAlignment="1">
      <alignment horizontal="distributed"/>
    </xf>
    <xf numFmtId="38" fontId="3" fillId="0" borderId="244" xfId="49" applyFont="1" applyFill="1" applyBorder="1" applyAlignment="1">
      <alignment horizontal="distributed"/>
    </xf>
    <xf numFmtId="38" fontId="3" fillId="0" borderId="242" xfId="49" applyFont="1" applyFill="1" applyBorder="1" applyAlignment="1">
      <alignment horizontal="distributed"/>
    </xf>
    <xf numFmtId="38" fontId="3" fillId="0" borderId="245" xfId="49" applyFont="1" applyFill="1" applyBorder="1" applyAlignment="1">
      <alignment horizontal="distributed"/>
    </xf>
    <xf numFmtId="38" fontId="3" fillId="0" borderId="241" xfId="49" applyFont="1" applyFill="1" applyBorder="1" applyAlignment="1">
      <alignment horizontal="distributed"/>
    </xf>
    <xf numFmtId="38" fontId="3" fillId="0" borderId="243" xfId="49" applyFont="1" applyFill="1" applyBorder="1" applyAlignment="1">
      <alignment horizontal="distributed"/>
    </xf>
    <xf numFmtId="38" fontId="3" fillId="0" borderId="122" xfId="49" applyFont="1" applyFill="1" applyBorder="1" applyAlignment="1">
      <alignment horizontal="distributed"/>
    </xf>
    <xf numFmtId="38" fontId="3" fillId="0" borderId="236" xfId="49" applyFont="1" applyFill="1" applyBorder="1" applyAlignment="1">
      <alignment horizontal="distributed"/>
    </xf>
    <xf numFmtId="38" fontId="3" fillId="0" borderId="237" xfId="49" applyFont="1" applyFill="1" applyBorder="1" applyAlignment="1">
      <alignment horizontal="distributed"/>
    </xf>
    <xf numFmtId="38" fontId="3" fillId="0" borderId="28" xfId="49" applyFont="1" applyFill="1" applyBorder="1" applyAlignment="1">
      <alignment horizontal="right"/>
    </xf>
    <xf numFmtId="0" fontId="3" fillId="0" borderId="22" xfId="0" applyFont="1" applyFill="1" applyBorder="1" applyAlignment="1">
      <alignment horizontal="right"/>
    </xf>
    <xf numFmtId="38" fontId="32" fillId="0" borderId="77" xfId="49" applyFont="1" applyFill="1" applyBorder="1" applyAlignment="1">
      <alignment horizontal="distributed"/>
    </xf>
    <xf numFmtId="38" fontId="3" fillId="0" borderId="77" xfId="49" applyFont="1" applyFill="1" applyBorder="1" applyAlignment="1">
      <alignment horizontal="distributed"/>
    </xf>
    <xf numFmtId="0" fontId="3" fillId="0" borderId="29" xfId="0" applyFont="1" applyFill="1" applyBorder="1" applyAlignment="1">
      <alignment horizontal="right"/>
    </xf>
    <xf numFmtId="0" fontId="3" fillId="0" borderId="28" xfId="0" applyFont="1" applyFill="1" applyBorder="1" applyAlignment="1">
      <alignment horizontal="right"/>
    </xf>
    <xf numFmtId="38" fontId="3" fillId="0" borderId="26" xfId="49" applyFont="1" applyFill="1" applyBorder="1" applyAlignment="1">
      <alignment horizontal="right"/>
    </xf>
    <xf numFmtId="38" fontId="3" fillId="0" borderId="19" xfId="49" applyFont="1" applyFill="1" applyBorder="1" applyAlignment="1">
      <alignment horizontal="right"/>
    </xf>
    <xf numFmtId="0" fontId="3" fillId="0" borderId="23" xfId="0" applyFont="1" applyFill="1" applyBorder="1" applyAlignment="1">
      <alignment horizontal="right"/>
    </xf>
    <xf numFmtId="38" fontId="3" fillId="0" borderId="251" xfId="49" applyFont="1" applyFill="1" applyBorder="1" applyAlignment="1">
      <alignment horizontal="distributed"/>
    </xf>
    <xf numFmtId="38" fontId="3" fillId="0" borderId="23" xfId="49" applyFont="1" applyFill="1" applyBorder="1" applyAlignment="1">
      <alignment horizontal="right"/>
    </xf>
    <xf numFmtId="38" fontId="32" fillId="0" borderId="230" xfId="49" applyFont="1" applyFill="1" applyBorder="1" applyAlignment="1">
      <alignment horizontal="distributed"/>
    </xf>
    <xf numFmtId="38" fontId="32" fillId="0" borderId="102" xfId="49" applyFont="1" applyFill="1" applyBorder="1" applyAlignment="1">
      <alignment horizontal="distributed"/>
    </xf>
    <xf numFmtId="38" fontId="3" fillId="0" borderId="252" xfId="49" applyFont="1" applyFill="1" applyBorder="1" applyAlignment="1">
      <alignment horizontal="distributed"/>
    </xf>
    <xf numFmtId="38" fontId="32" fillId="0" borderId="126" xfId="49" applyFont="1" applyFill="1" applyBorder="1" applyAlignment="1">
      <alignment horizontal="distributed"/>
    </xf>
    <xf numFmtId="0" fontId="32" fillId="0" borderId="232" xfId="0" applyFont="1" applyFill="1" applyBorder="1" applyAlignment="1">
      <alignment horizontal="distributed"/>
    </xf>
    <xf numFmtId="38" fontId="3" fillId="0" borderId="172" xfId="49" applyFont="1" applyFill="1" applyBorder="1" applyAlignment="1">
      <alignment horizontal="distributed"/>
    </xf>
    <xf numFmtId="38" fontId="3" fillId="0" borderId="138" xfId="49" applyFont="1" applyFill="1" applyBorder="1" applyAlignment="1">
      <alignment horizontal="distributed"/>
    </xf>
    <xf numFmtId="38" fontId="6" fillId="0" borderId="253" xfId="49" applyFont="1" applyFill="1" applyBorder="1" applyAlignment="1">
      <alignment horizontal="center" vertical="top" textRotation="255" shrinkToFit="1"/>
    </xf>
    <xf numFmtId="38" fontId="6" fillId="0" borderId="254" xfId="49" applyFont="1" applyFill="1" applyBorder="1" applyAlignment="1">
      <alignment horizontal="center" vertical="top" textRotation="255" shrinkToFit="1"/>
    </xf>
    <xf numFmtId="38" fontId="6" fillId="0" borderId="18" xfId="49" applyFont="1" applyFill="1" applyBorder="1" applyAlignment="1">
      <alignment horizontal="center" vertical="top" textRotation="255" shrinkToFit="1"/>
    </xf>
    <xf numFmtId="38" fontId="6" fillId="0" borderId="21" xfId="49" applyFont="1" applyFill="1" applyBorder="1" applyAlignment="1">
      <alignment vertical="top" textRotation="255" shrinkToFit="1"/>
    </xf>
    <xf numFmtId="38" fontId="3" fillId="0" borderId="21" xfId="49" applyFont="1" applyFill="1" applyBorder="1" applyAlignment="1">
      <alignment horizontal="center" vertical="center"/>
    </xf>
    <xf numFmtId="38" fontId="3" fillId="0" borderId="30" xfId="49" applyFont="1" applyFill="1" applyBorder="1" applyAlignment="1">
      <alignment horizontal="center" vertical="center"/>
    </xf>
    <xf numFmtId="38" fontId="3" fillId="0" borderId="98" xfId="49" applyFont="1" applyFill="1" applyBorder="1" applyAlignment="1">
      <alignment horizontal="distributed" vertical="center"/>
    </xf>
    <xf numFmtId="38" fontId="3" fillId="0" borderId="26" xfId="49" applyFont="1" applyFill="1" applyBorder="1" applyAlignment="1">
      <alignment horizontal="distributed" vertical="center"/>
    </xf>
    <xf numFmtId="38" fontId="3" fillId="0" borderId="21" xfId="49" applyFont="1" applyFill="1" applyBorder="1" applyAlignment="1">
      <alignment horizontal="center" vertical="center" textRotation="255"/>
    </xf>
    <xf numFmtId="0" fontId="3" fillId="0" borderId="21"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38" fontId="3" fillId="0" borderId="102" xfId="49" applyFont="1" applyFill="1" applyBorder="1" applyAlignment="1">
      <alignment horizontal="right"/>
    </xf>
    <xf numFmtId="0" fontId="3" fillId="0" borderId="24" xfId="0" applyFont="1" applyFill="1" applyBorder="1" applyAlignment="1">
      <alignment horizontal="right"/>
    </xf>
    <xf numFmtId="38" fontId="3" fillId="0" borderId="24" xfId="49" applyFont="1" applyFill="1" applyBorder="1" applyAlignment="1">
      <alignment horizontal="right"/>
    </xf>
    <xf numFmtId="38" fontId="3" fillId="0" borderId="25" xfId="49" applyFont="1" applyFill="1" applyBorder="1" applyAlignment="1">
      <alignment horizontal="right"/>
    </xf>
    <xf numFmtId="38" fontId="3" fillId="0" borderId="101" xfId="49" applyFont="1" applyFill="1" applyBorder="1" applyAlignment="1">
      <alignment horizontal="right"/>
    </xf>
    <xf numFmtId="38" fontId="3" fillId="0" borderId="11" xfId="49" applyFont="1" applyFill="1" applyBorder="1" applyAlignment="1">
      <alignment horizontal="right" vertical="center"/>
    </xf>
    <xf numFmtId="0" fontId="3" fillId="0" borderId="25" xfId="0" applyFont="1" applyFill="1" applyBorder="1" applyAlignment="1">
      <alignment horizontal="right" vertical="center"/>
    </xf>
    <xf numFmtId="38" fontId="3" fillId="0" borderId="13" xfId="49" applyFont="1" applyFill="1" applyBorder="1" applyAlignment="1">
      <alignment horizontal="right"/>
    </xf>
    <xf numFmtId="38" fontId="3" fillId="0" borderId="21" xfId="49" applyFont="1" applyFill="1" applyBorder="1" applyAlignment="1">
      <alignment vertical="top" textRotation="255"/>
    </xf>
    <xf numFmtId="0" fontId="3" fillId="0" borderId="21" xfId="0" applyFont="1" applyFill="1" applyBorder="1" applyAlignment="1">
      <alignment vertical="top" textRotation="255"/>
    </xf>
    <xf numFmtId="0" fontId="3" fillId="0" borderId="27" xfId="0" applyFont="1" applyFill="1" applyBorder="1" applyAlignment="1">
      <alignment vertical="top" textRotation="255"/>
    </xf>
    <xf numFmtId="38" fontId="3" fillId="0" borderId="255" xfId="49" applyFont="1" applyFill="1" applyBorder="1" applyAlignment="1">
      <alignment horizontal="distributed" vertical="center"/>
    </xf>
    <xf numFmtId="38" fontId="3" fillId="0" borderId="256" xfId="49" applyFont="1" applyFill="1" applyBorder="1" applyAlignment="1">
      <alignment horizontal="distributed" vertical="center"/>
    </xf>
    <xf numFmtId="38" fontId="3" fillId="0" borderId="0" xfId="49" applyFont="1" applyFill="1" applyBorder="1" applyAlignment="1">
      <alignment horizontal="distributed" vertical="center"/>
    </xf>
    <xf numFmtId="38" fontId="0" fillId="0" borderId="255" xfId="49" applyFont="1" applyFill="1" applyBorder="1" applyAlignment="1">
      <alignment horizontal="distributed" vertical="center"/>
    </xf>
    <xf numFmtId="38" fontId="0" fillId="0" borderId="256" xfId="49" applyFont="1" applyFill="1" applyBorder="1" applyAlignment="1">
      <alignment horizontal="distributed" vertical="center"/>
    </xf>
    <xf numFmtId="0" fontId="3" fillId="0" borderId="11" xfId="0" applyFont="1" applyFill="1" applyBorder="1" applyAlignment="1">
      <alignment horizontal="right" vertical="center"/>
    </xf>
    <xf numFmtId="38" fontId="0" fillId="0" borderId="249" xfId="49" applyFont="1" applyFill="1" applyBorder="1" applyAlignment="1">
      <alignment horizontal="distributed" vertical="center"/>
    </xf>
    <xf numFmtId="38" fontId="0" fillId="0" borderId="250" xfId="49" applyFont="1" applyFill="1" applyBorder="1" applyAlignment="1">
      <alignment horizontal="distributed" vertical="center"/>
    </xf>
    <xf numFmtId="38" fontId="3" fillId="0" borderId="249" xfId="49" applyFont="1" applyFill="1" applyBorder="1" applyAlignment="1">
      <alignment horizontal="distributed" vertical="center"/>
    </xf>
    <xf numFmtId="38" fontId="3" fillId="0" borderId="250" xfId="49" applyFont="1" applyFill="1" applyBorder="1" applyAlignment="1">
      <alignment horizontal="distributed" vertical="center"/>
    </xf>
    <xf numFmtId="38" fontId="32" fillId="0" borderId="91" xfId="49" applyFont="1" applyFill="1" applyBorder="1" applyAlignment="1">
      <alignment/>
    </xf>
    <xf numFmtId="38" fontId="32" fillId="0" borderId="10" xfId="49" applyFont="1" applyFill="1" applyBorder="1" applyAlignment="1">
      <alignment/>
    </xf>
    <xf numFmtId="190" fontId="32" fillId="0" borderId="0" xfId="49" applyNumberFormat="1" applyFont="1" applyFill="1" applyBorder="1" applyAlignment="1">
      <alignment horizontal="right" vertical="center"/>
    </xf>
    <xf numFmtId="38" fontId="32" fillId="0" borderId="12" xfId="49" applyFont="1" applyFill="1" applyBorder="1" applyAlignment="1">
      <alignment horizontal="distributed" vertical="center" wrapText="1"/>
    </xf>
    <xf numFmtId="38" fontId="32" fillId="0" borderId="11" xfId="49" applyFont="1" applyFill="1" applyBorder="1" applyAlignment="1">
      <alignment horizontal="distributed" vertical="center" wrapText="1"/>
    </xf>
    <xf numFmtId="38" fontId="32" fillId="0" borderId="17" xfId="49" applyFont="1" applyFill="1" applyBorder="1" applyAlignment="1">
      <alignment horizontal="distributed" vertical="center"/>
    </xf>
    <xf numFmtId="38" fontId="32" fillId="0" borderId="0" xfId="49" applyFont="1" applyFill="1" applyBorder="1" applyAlignment="1">
      <alignment horizontal="distributed" vertical="center"/>
    </xf>
    <xf numFmtId="190" fontId="32" fillId="0" borderId="91" xfId="49" applyNumberFormat="1" applyFont="1" applyFill="1" applyBorder="1" applyAlignment="1">
      <alignment/>
    </xf>
    <xf numFmtId="190" fontId="32" fillId="0" borderId="10" xfId="0" applyNumberFormat="1" applyFont="1" applyFill="1" applyBorder="1" applyAlignment="1">
      <alignment/>
    </xf>
    <xf numFmtId="38" fontId="3" fillId="0" borderId="257" xfId="49" applyFont="1" applyFill="1" applyBorder="1" applyAlignment="1">
      <alignment horizontal="center" vertical="distributed" textRotation="255"/>
    </xf>
    <xf numFmtId="38" fontId="3" fillId="0" borderId="254" xfId="49" applyFont="1" applyFill="1" applyBorder="1" applyAlignment="1">
      <alignment horizontal="center" vertical="distributed" textRotation="255"/>
    </xf>
    <xf numFmtId="38" fontId="3" fillId="0" borderId="249" xfId="49" applyFont="1" applyFill="1" applyBorder="1" applyAlignment="1">
      <alignment horizontal="center" vertical="distributed" textRotation="255"/>
    </xf>
    <xf numFmtId="38" fontId="3" fillId="0" borderId="14" xfId="49" applyFont="1" applyFill="1" applyBorder="1" applyAlignment="1">
      <alignment horizontal="distributed" vertical="center"/>
    </xf>
    <xf numFmtId="38" fontId="3" fillId="0" borderId="15" xfId="49" applyFont="1" applyFill="1" applyBorder="1" applyAlignment="1">
      <alignment horizontal="distributed" vertical="center"/>
    </xf>
    <xf numFmtId="38" fontId="32" fillId="0" borderId="91" xfId="49" applyFont="1" applyFill="1" applyBorder="1" applyAlignment="1">
      <alignment horizontal="right"/>
    </xf>
    <xf numFmtId="38" fontId="32" fillId="0" borderId="10" xfId="49" applyFont="1" applyFill="1" applyBorder="1" applyAlignment="1">
      <alignment horizontal="right"/>
    </xf>
    <xf numFmtId="38" fontId="30" fillId="0" borderId="11" xfId="49" applyFont="1" applyFill="1" applyBorder="1" applyAlignment="1">
      <alignment horizontal="center"/>
    </xf>
    <xf numFmtId="0" fontId="32" fillId="0" borderId="30" xfId="0" applyFont="1" applyBorder="1" applyAlignment="1">
      <alignment horizontal="distributed" vertical="center"/>
    </xf>
    <xf numFmtId="0" fontId="32" fillId="0" borderId="30" xfId="0" applyFont="1" applyBorder="1" applyAlignment="1">
      <alignment horizontal="center" vertical="center" textRotation="255"/>
    </xf>
    <xf numFmtId="0" fontId="33" fillId="0" borderId="30" xfId="0" applyFont="1" applyBorder="1" applyAlignment="1">
      <alignment horizontal="center" vertical="center" wrapText="1"/>
    </xf>
    <xf numFmtId="0" fontId="32" fillId="0" borderId="30" xfId="0" applyFont="1" applyBorder="1" applyAlignment="1">
      <alignment horizontal="center" vertical="center"/>
    </xf>
    <xf numFmtId="0" fontId="32" fillId="0" borderId="30" xfId="0" applyFont="1" applyBorder="1" applyAlignment="1">
      <alignment vertical="center" shrinkToFit="1"/>
    </xf>
    <xf numFmtId="0" fontId="32" fillId="0" borderId="30" xfId="0" applyFont="1" applyBorder="1" applyAlignment="1">
      <alignment vertical="center" textRotation="255"/>
    </xf>
    <xf numFmtId="0" fontId="19" fillId="0" borderId="30" xfId="0" applyFont="1" applyBorder="1" applyAlignment="1">
      <alignment horizontal="distributed" vertical="center"/>
    </xf>
    <xf numFmtId="183" fontId="33" fillId="0" borderId="240" xfId="0" applyNumberFormat="1" applyFont="1" applyFill="1" applyBorder="1" applyAlignment="1">
      <alignment horizontal="right" vertical="center"/>
    </xf>
    <xf numFmtId="183" fontId="33" fillId="0" borderId="118" xfId="0" applyNumberFormat="1" applyFont="1" applyFill="1" applyBorder="1" applyAlignment="1">
      <alignment horizontal="right" vertical="center"/>
    </xf>
    <xf numFmtId="38" fontId="33" fillId="0" borderId="39" xfId="0" applyNumberFormat="1" applyFont="1" applyFill="1" applyBorder="1" applyAlignment="1">
      <alignment horizontal="left" vertical="center" shrinkToFit="1"/>
    </xf>
    <xf numFmtId="0" fontId="33" fillId="0" borderId="40" xfId="0" applyFont="1" applyFill="1" applyBorder="1" applyAlignment="1">
      <alignment horizontal="left" vertical="center" shrinkToFit="1"/>
    </xf>
    <xf numFmtId="183" fontId="33" fillId="0" borderId="258" xfId="0" applyNumberFormat="1" applyFont="1" applyFill="1" applyBorder="1" applyAlignment="1">
      <alignment horizontal="right" vertical="center"/>
    </xf>
    <xf numFmtId="183" fontId="33" fillId="0" borderId="259" xfId="0" applyNumberFormat="1" applyFont="1" applyFill="1" applyBorder="1" applyAlignment="1">
      <alignment horizontal="right" vertical="center"/>
    </xf>
    <xf numFmtId="41" fontId="5" fillId="0" borderId="10"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183" fontId="33" fillId="0" borderId="260" xfId="0" applyNumberFormat="1" applyFont="1" applyFill="1" applyBorder="1" applyAlignment="1">
      <alignment horizontal="right" vertical="center"/>
    </xf>
    <xf numFmtId="183" fontId="33" fillId="0" borderId="261" xfId="0" applyNumberFormat="1" applyFont="1" applyFill="1" applyBorder="1" applyAlignment="1">
      <alignment horizontal="right" vertical="center"/>
    </xf>
    <xf numFmtId="38" fontId="5" fillId="0" borderId="262" xfId="0" applyNumberFormat="1" applyFont="1" applyFill="1" applyBorder="1" applyAlignment="1">
      <alignment horizontal="left" vertical="center" shrinkToFit="1"/>
    </xf>
    <xf numFmtId="0" fontId="5" fillId="0" borderId="263" xfId="0" applyFont="1" applyFill="1" applyBorder="1" applyAlignment="1">
      <alignment horizontal="left" vertical="center" shrinkToFit="1"/>
    </xf>
    <xf numFmtId="0" fontId="5" fillId="0" borderId="264" xfId="0" applyFont="1" applyFill="1" applyBorder="1" applyAlignment="1">
      <alignment horizontal="left" vertical="center" shrinkToFit="1"/>
    </xf>
    <xf numFmtId="0" fontId="5" fillId="0" borderId="265" xfId="0" applyFont="1" applyFill="1" applyBorder="1" applyAlignment="1">
      <alignment horizontal="distributed" vertical="center"/>
    </xf>
    <xf numFmtId="0" fontId="5" fillId="0" borderId="84" xfId="0" applyFont="1" applyFill="1" applyBorder="1" applyAlignment="1">
      <alignment horizontal="distributed" vertical="center"/>
    </xf>
    <xf numFmtId="0" fontId="5" fillId="0" borderId="85" xfId="0" applyFont="1" applyFill="1" applyBorder="1" applyAlignment="1">
      <alignment horizontal="distributed" vertical="center"/>
    </xf>
    <xf numFmtId="0" fontId="33" fillId="0" borderId="58" xfId="0" applyFont="1" applyFill="1" applyBorder="1" applyAlignment="1">
      <alignment horizontal="distributed" vertical="center"/>
    </xf>
    <xf numFmtId="0" fontId="33" fillId="0" borderId="34" xfId="0" applyFont="1" applyFill="1" applyBorder="1" applyAlignment="1">
      <alignment horizontal="distributed" vertical="center"/>
    </xf>
    <xf numFmtId="0" fontId="33" fillId="0" borderId="35" xfId="0" applyFont="1" applyFill="1" applyBorder="1" applyAlignment="1">
      <alignment horizontal="distributed" vertical="center"/>
    </xf>
    <xf numFmtId="0" fontId="33" fillId="0" borderId="58" xfId="0" applyFont="1" applyFill="1" applyBorder="1" applyAlignment="1">
      <alignment horizontal="distributed" vertical="center" indent="1"/>
    </xf>
    <xf numFmtId="0" fontId="33" fillId="0" borderId="34" xfId="0" applyFont="1" applyFill="1" applyBorder="1" applyAlignment="1">
      <alignment horizontal="distributed" vertical="center" indent="1"/>
    </xf>
    <xf numFmtId="38" fontId="5" fillId="0" borderId="266" xfId="0" applyNumberFormat="1" applyFont="1" applyFill="1" applyBorder="1" applyAlignment="1">
      <alignment horizontal="left" vertical="center" shrinkToFit="1"/>
    </xf>
    <xf numFmtId="0" fontId="5" fillId="0" borderId="267" xfId="0" applyFont="1" applyFill="1" applyBorder="1" applyAlignment="1">
      <alignment horizontal="left" vertical="center" shrinkToFit="1"/>
    </xf>
    <xf numFmtId="0" fontId="5" fillId="0" borderId="268" xfId="0" applyFont="1" applyFill="1" applyBorder="1" applyAlignment="1">
      <alignment horizontal="left" vertical="center" shrinkToFit="1"/>
    </xf>
    <xf numFmtId="38" fontId="33" fillId="0" borderId="99" xfId="0" applyNumberFormat="1" applyFont="1" applyFill="1" applyBorder="1" applyAlignment="1">
      <alignment horizontal="left" vertical="center" shrinkToFit="1"/>
    </xf>
    <xf numFmtId="0" fontId="33" fillId="0" borderId="100" xfId="0" applyFont="1" applyFill="1" applyBorder="1" applyAlignment="1">
      <alignment horizontal="left" vertical="center" shrinkToFit="1"/>
    </xf>
    <xf numFmtId="0" fontId="33" fillId="0" borderId="269" xfId="0" applyFont="1" applyFill="1" applyBorder="1" applyAlignment="1">
      <alignment horizontal="distributed" vertical="center"/>
    </xf>
    <xf numFmtId="0" fontId="33" fillId="0" borderId="270" xfId="0" applyFont="1" applyFill="1" applyBorder="1" applyAlignment="1">
      <alignment horizontal="distributed" vertical="center"/>
    </xf>
    <xf numFmtId="0" fontId="33" fillId="0" borderId="83" xfId="0" applyFont="1" applyFill="1" applyBorder="1" applyAlignment="1">
      <alignment horizontal="distributed" vertical="center"/>
    </xf>
    <xf numFmtId="0" fontId="33" fillId="0" borderId="271" xfId="0" applyFont="1" applyFill="1" applyBorder="1" applyAlignment="1">
      <alignment horizontal="distributed" vertical="center"/>
    </xf>
    <xf numFmtId="0" fontId="33" fillId="0" borderId="272" xfId="0" applyFont="1" applyFill="1" applyBorder="1" applyAlignment="1">
      <alignment horizontal="distributed" vertical="center" indent="2"/>
    </xf>
    <xf numFmtId="0" fontId="33" fillId="0" borderId="273" xfId="0" applyFont="1" applyFill="1" applyBorder="1" applyAlignment="1">
      <alignment horizontal="distributed" vertical="center" indent="2"/>
    </xf>
    <xf numFmtId="0" fontId="33" fillId="0" borderId="86" xfId="0" applyFont="1" applyFill="1" applyBorder="1" applyAlignment="1">
      <alignment horizontal="distributed" vertical="center" indent="2"/>
    </xf>
    <xf numFmtId="0" fontId="33" fillId="0" borderId="274" xfId="0" applyFont="1" applyFill="1" applyBorder="1" applyAlignment="1">
      <alignment horizontal="distributed" vertical="center" indent="2"/>
    </xf>
    <xf numFmtId="38" fontId="5" fillId="0" borderId="275" xfId="0" applyNumberFormat="1" applyFont="1" applyFill="1" applyBorder="1" applyAlignment="1">
      <alignment horizontal="left" vertical="center" shrinkToFit="1"/>
    </xf>
    <xf numFmtId="0" fontId="5" fillId="0" borderId="276" xfId="0" applyFont="1" applyFill="1" applyBorder="1" applyAlignment="1">
      <alignment horizontal="left" vertical="center" shrinkToFit="1"/>
    </xf>
    <xf numFmtId="0" fontId="5" fillId="0" borderId="277" xfId="0" applyFont="1" applyFill="1" applyBorder="1" applyAlignment="1">
      <alignment horizontal="left" vertical="center" shrinkToFit="1"/>
    </xf>
    <xf numFmtId="0" fontId="5" fillId="0" borderId="278" xfId="0" applyFont="1" applyFill="1" applyBorder="1" applyAlignment="1">
      <alignment vertical="distributed" textRotation="255"/>
    </xf>
    <xf numFmtId="0" fontId="5" fillId="0" borderId="279" xfId="0" applyFont="1" applyFill="1" applyBorder="1" applyAlignment="1">
      <alignment vertical="distributed" textRotation="255"/>
    </xf>
    <xf numFmtId="0" fontId="0" fillId="0" borderId="279" xfId="0" applyFont="1" applyFill="1" applyBorder="1" applyAlignment="1">
      <alignment vertical="distributed" textRotation="255"/>
    </xf>
    <xf numFmtId="0" fontId="0" fillId="0" borderId="280" xfId="0" applyFont="1" applyFill="1" applyBorder="1" applyAlignment="1">
      <alignment vertical="distributed" textRotation="255"/>
    </xf>
    <xf numFmtId="38" fontId="33" fillId="0" borderId="116" xfId="0" applyNumberFormat="1" applyFont="1" applyFill="1" applyBorder="1" applyAlignment="1">
      <alignment horizontal="left" vertical="center" shrinkToFit="1"/>
    </xf>
    <xf numFmtId="0" fontId="33" fillId="0" borderId="110" xfId="0" applyFont="1" applyFill="1" applyBorder="1" applyAlignment="1">
      <alignment horizontal="left" vertical="center" shrinkToFit="1"/>
    </xf>
    <xf numFmtId="0" fontId="5" fillId="0" borderId="281" xfId="0" applyFont="1" applyFill="1" applyBorder="1" applyAlignment="1">
      <alignment horizontal="center" vertical="distributed" textRotation="255"/>
    </xf>
    <xf numFmtId="0" fontId="5" fillId="0" borderId="282" xfId="0" applyFont="1" applyFill="1" applyBorder="1" applyAlignment="1">
      <alignment horizontal="center" vertical="distributed" textRotation="255"/>
    </xf>
    <xf numFmtId="0" fontId="5" fillId="0" borderId="283" xfId="0" applyFont="1" applyFill="1" applyBorder="1" applyAlignment="1">
      <alignment horizontal="center" vertical="distributed" textRotation="255"/>
    </xf>
    <xf numFmtId="0" fontId="33" fillId="0" borderId="284" xfId="0" applyFont="1" applyFill="1" applyBorder="1" applyAlignment="1">
      <alignment horizontal="distributed" vertical="center" indent="1"/>
    </xf>
    <xf numFmtId="0" fontId="33" fillId="0" borderId="285" xfId="0" applyFont="1" applyFill="1" applyBorder="1" applyAlignment="1">
      <alignment horizontal="distributed" vertical="center" indent="1"/>
    </xf>
    <xf numFmtId="0" fontId="33" fillId="0" borderId="127" xfId="0" applyFont="1" applyFill="1" applyBorder="1" applyAlignment="1">
      <alignment horizontal="distributed" vertical="center" indent="1"/>
    </xf>
    <xf numFmtId="0" fontId="33" fillId="0" borderId="117" xfId="0" applyFont="1" applyFill="1" applyBorder="1" applyAlignment="1">
      <alignment horizontal="distributed" vertical="center" indent="1"/>
    </xf>
    <xf numFmtId="183" fontId="33" fillId="0" borderId="286" xfId="0" applyNumberFormat="1" applyFont="1" applyFill="1" applyBorder="1" applyAlignment="1">
      <alignment horizontal="right" vertical="center"/>
    </xf>
    <xf numFmtId="0" fontId="6" fillId="0" borderId="96" xfId="0" applyFont="1" applyFill="1" applyBorder="1" applyAlignment="1">
      <alignment horizontal="distributed" vertical="center"/>
    </xf>
    <xf numFmtId="0" fontId="6" fillId="0" borderId="252" xfId="0" applyFont="1" applyFill="1" applyBorder="1" applyAlignment="1">
      <alignment horizontal="distributed" vertical="center"/>
    </xf>
    <xf numFmtId="0" fontId="0" fillId="0" borderId="287" xfId="0" applyFont="1" applyBorder="1" applyAlignment="1">
      <alignment horizontal="center" vertical="center"/>
    </xf>
    <xf numFmtId="0" fontId="0" fillId="0" borderId="43" xfId="0" applyFont="1" applyBorder="1" applyAlignment="1">
      <alignment horizontal="center" vertical="center"/>
    </xf>
    <xf numFmtId="0" fontId="14" fillId="0" borderId="288" xfId="0" applyFont="1" applyBorder="1" applyAlignment="1">
      <alignment horizontal="center" vertical="center" textRotation="255" shrinkToFit="1"/>
    </xf>
    <xf numFmtId="0" fontId="14" fillId="0" borderId="289" xfId="0" applyFont="1" applyBorder="1" applyAlignment="1">
      <alignment horizontal="center" vertical="center" textRotation="255" shrinkToFit="1"/>
    </xf>
    <xf numFmtId="0" fontId="14" fillId="0" borderId="290" xfId="0" applyFont="1" applyBorder="1" applyAlignment="1">
      <alignment horizontal="center" vertical="center" textRotation="255"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291" xfId="0" applyFont="1" applyFill="1" applyBorder="1" applyAlignment="1">
      <alignment horizontal="center" vertical="center"/>
    </xf>
    <xf numFmtId="0" fontId="0" fillId="0" borderId="292" xfId="0" applyFont="1" applyFill="1" applyBorder="1" applyAlignment="1">
      <alignment horizontal="center" vertical="center"/>
    </xf>
    <xf numFmtId="190" fontId="32" fillId="0" borderId="292" xfId="0" applyNumberFormat="1" applyFont="1" applyFill="1" applyBorder="1" applyAlignment="1">
      <alignment horizontal="center" vertical="center"/>
    </xf>
    <xf numFmtId="190" fontId="32" fillId="0" borderId="293" xfId="0" applyNumberFormat="1" applyFont="1" applyFill="1" applyBorder="1" applyAlignment="1">
      <alignment horizontal="center" vertical="center"/>
    </xf>
    <xf numFmtId="0" fontId="10" fillId="0" borderId="117" xfId="0" applyFont="1" applyFill="1" applyBorder="1" applyAlignment="1">
      <alignment horizontal="center" vertical="center"/>
    </xf>
    <xf numFmtId="0" fontId="10" fillId="0" borderId="43" xfId="0" applyFont="1" applyFill="1" applyBorder="1" applyAlignment="1">
      <alignment horizontal="center" vertical="center"/>
    </xf>
    <xf numFmtId="41" fontId="33" fillId="0" borderId="43" xfId="0" applyNumberFormat="1" applyFont="1" applyFill="1" applyBorder="1" applyAlignment="1">
      <alignment horizontal="center" vertical="center"/>
    </xf>
    <xf numFmtId="41" fontId="33" fillId="0" borderId="127" xfId="0" applyNumberFormat="1" applyFont="1" applyFill="1" applyBorder="1" applyAlignment="1">
      <alignment horizontal="center" vertical="center"/>
    </xf>
    <xf numFmtId="41" fontId="33" fillId="0" borderId="117" xfId="0" applyNumberFormat="1" applyFont="1" applyFill="1" applyBorder="1" applyAlignment="1">
      <alignment horizontal="center" vertical="center" shrinkToFit="1"/>
    </xf>
    <xf numFmtId="41" fontId="33" fillId="0" borderId="44" xfId="0" applyNumberFormat="1" applyFont="1" applyFill="1" applyBorder="1" applyAlignment="1">
      <alignment horizontal="center" vertical="center" shrinkToFit="1"/>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10" fillId="0" borderId="288" xfId="0" applyFont="1" applyBorder="1" applyAlignment="1">
      <alignment horizontal="center" vertical="center" textRotation="255" wrapText="1"/>
    </xf>
    <xf numFmtId="0" fontId="10" fillId="0" borderId="289" xfId="0" applyFont="1" applyBorder="1" applyAlignment="1">
      <alignment horizontal="center" vertical="center" textRotation="255" wrapText="1"/>
    </xf>
    <xf numFmtId="0" fontId="10" fillId="0" borderId="290" xfId="0" applyFont="1" applyBorder="1" applyAlignment="1">
      <alignment horizontal="center" vertical="center" textRotation="255"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41" fontId="33" fillId="28" borderId="39" xfId="49" applyNumberFormat="1" applyFont="1" applyFill="1" applyBorder="1" applyAlignment="1">
      <alignment horizontal="center" vertical="center" shrinkToFit="1"/>
    </xf>
    <xf numFmtId="41" fontId="33" fillId="28" borderId="41" xfId="49" applyNumberFormat="1" applyFont="1" applyFill="1" applyBorder="1" applyAlignment="1">
      <alignment horizontal="center" vertical="center" shrinkToFit="1"/>
    </xf>
    <xf numFmtId="41" fontId="33" fillId="0" borderId="40" xfId="0" applyNumberFormat="1" applyFont="1" applyFill="1" applyBorder="1" applyAlignment="1">
      <alignment horizontal="center" vertical="center"/>
    </xf>
    <xf numFmtId="41" fontId="33" fillId="0" borderId="87" xfId="0" applyNumberFormat="1" applyFont="1" applyFill="1" applyBorder="1" applyAlignment="1">
      <alignment horizontal="center" vertical="center"/>
    </xf>
    <xf numFmtId="41" fontId="33" fillId="0" borderId="46" xfId="0" applyNumberFormat="1" applyFont="1" applyFill="1" applyBorder="1" applyAlignment="1">
      <alignment horizontal="center" vertical="center"/>
    </xf>
    <xf numFmtId="41" fontId="33" fillId="0" borderId="272" xfId="0" applyNumberFormat="1" applyFont="1" applyFill="1" applyBorder="1" applyAlignment="1">
      <alignment horizontal="center" vertical="center"/>
    </xf>
    <xf numFmtId="41" fontId="33" fillId="0" borderId="45" xfId="49" applyNumberFormat="1" applyFont="1" applyFill="1" applyBorder="1" applyAlignment="1">
      <alignment horizontal="center" vertical="center" shrinkToFit="1"/>
    </xf>
    <xf numFmtId="41" fontId="33" fillId="0" borderId="42" xfId="49" applyNumberFormat="1" applyFont="1" applyFill="1" applyBorder="1" applyAlignment="1">
      <alignment horizontal="center" vertical="center" shrinkToFit="1"/>
    </xf>
    <xf numFmtId="0" fontId="0" fillId="0" borderId="5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8" xfId="0" applyFont="1" applyBorder="1" applyAlignment="1">
      <alignment horizontal="center" vertical="center" wrapText="1"/>
    </xf>
    <xf numFmtId="0" fontId="0" fillId="0" borderId="289" xfId="0" applyFont="1" applyBorder="1" applyAlignment="1">
      <alignment horizontal="center" vertical="center" wrapText="1"/>
    </xf>
    <xf numFmtId="0" fontId="0" fillId="0" borderId="294" xfId="0" applyFont="1" applyBorder="1" applyAlignment="1">
      <alignment horizontal="center" vertical="center" wrapText="1"/>
    </xf>
    <xf numFmtId="0" fontId="0" fillId="0" borderId="290" xfId="0" applyFont="1" applyBorder="1" applyAlignment="1">
      <alignment horizontal="center" vertical="center" wrapText="1"/>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41" fontId="33" fillId="0" borderId="37" xfId="0" applyNumberFormat="1" applyFont="1" applyFill="1" applyBorder="1" applyAlignment="1">
      <alignment horizontal="center" vertical="center"/>
    </xf>
    <xf numFmtId="41" fontId="33" fillId="0" borderId="86" xfId="0" applyNumberFormat="1" applyFont="1" applyFill="1" applyBorder="1" applyAlignment="1">
      <alignment horizontal="center" vertical="center"/>
    </xf>
    <xf numFmtId="41" fontId="33" fillId="28" borderId="36" xfId="49" applyNumberFormat="1" applyFont="1" applyFill="1" applyBorder="1" applyAlignment="1">
      <alignment horizontal="center" vertical="center" shrinkToFit="1"/>
    </xf>
    <xf numFmtId="41" fontId="33" fillId="28" borderId="38" xfId="49" applyNumberFormat="1" applyFont="1" applyFill="1" applyBorder="1" applyAlignment="1">
      <alignment horizontal="center" vertical="center" shrinkToFit="1"/>
    </xf>
    <xf numFmtId="190" fontId="32" fillId="0" borderId="295" xfId="0" applyNumberFormat="1" applyFont="1" applyFill="1" applyBorder="1" applyAlignment="1">
      <alignment horizontal="center" vertical="center"/>
    </xf>
    <xf numFmtId="190" fontId="32" fillId="0" borderId="296" xfId="0" applyNumberFormat="1" applyFont="1" applyFill="1" applyBorder="1" applyAlignment="1">
      <alignment horizontal="center" vertical="center"/>
    </xf>
    <xf numFmtId="200" fontId="10" fillId="28" borderId="69" xfId="0" applyNumberFormat="1" applyFont="1" applyFill="1" applyBorder="1" applyAlignment="1">
      <alignment horizontal="left" vertical="center" shrinkToFit="1"/>
    </xf>
    <xf numFmtId="200" fontId="10" fillId="28" borderId="273" xfId="0" applyNumberFormat="1" applyFont="1" applyFill="1" applyBorder="1" applyAlignment="1">
      <alignment horizontal="left" vertical="center" shrinkToFit="1"/>
    </xf>
    <xf numFmtId="200" fontId="10" fillId="28" borderId="70" xfId="0" applyNumberFormat="1" applyFont="1" applyFill="1" applyBorder="1" applyAlignment="1">
      <alignment horizontal="left" vertical="center" shrinkToFit="1"/>
    </xf>
    <xf numFmtId="181" fontId="14" fillId="0" borderId="0" xfId="0" applyNumberFormat="1"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74" xfId="0" applyFont="1" applyFill="1" applyBorder="1" applyAlignment="1">
      <alignment horizontal="center" vertical="center" shrinkToFi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288" xfId="0" applyFont="1" applyFill="1" applyBorder="1" applyAlignment="1">
      <alignment horizontal="center" vertical="center" textRotation="255"/>
    </xf>
    <xf numFmtId="0" fontId="10" fillId="0" borderId="289" xfId="0" applyFont="1" applyFill="1" applyBorder="1" applyAlignment="1">
      <alignment horizontal="center" vertical="center" textRotation="255"/>
    </xf>
    <xf numFmtId="0" fontId="10" fillId="0" borderId="290" xfId="0" applyFont="1" applyFill="1" applyBorder="1" applyAlignment="1">
      <alignment horizontal="center" vertical="center" textRotation="255"/>
    </xf>
    <xf numFmtId="0" fontId="10" fillId="0" borderId="116" xfId="0" applyFont="1" applyFill="1" applyBorder="1" applyAlignment="1">
      <alignment horizontal="center" vertical="center"/>
    </xf>
    <xf numFmtId="0" fontId="10" fillId="0" borderId="110" xfId="0" applyFont="1" applyFill="1" applyBorder="1" applyAlignment="1">
      <alignment horizontal="center" vertical="center"/>
    </xf>
    <xf numFmtId="0" fontId="16" fillId="0" borderId="110" xfId="0" applyFont="1" applyFill="1" applyBorder="1" applyAlignment="1">
      <alignment horizontal="center" vertical="center"/>
    </xf>
    <xf numFmtId="0" fontId="16" fillId="0" borderId="112" xfId="0" applyFont="1" applyFill="1" applyBorder="1" applyAlignment="1">
      <alignment horizontal="center" vertical="center"/>
    </xf>
    <xf numFmtId="0" fontId="10" fillId="0" borderId="116"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181" fontId="33" fillId="0" borderId="53" xfId="49" applyNumberFormat="1" applyFont="1" applyFill="1" applyBorder="1" applyAlignment="1">
      <alignment horizontal="center" vertical="center" shrinkToFit="1"/>
    </xf>
    <xf numFmtId="181" fontId="33" fillId="0" borderId="54" xfId="49" applyNumberFormat="1" applyFont="1" applyFill="1" applyBorder="1" applyAlignment="1">
      <alignment horizontal="center" vertical="center" shrinkToFit="1"/>
    </xf>
    <xf numFmtId="196" fontId="0" fillId="0" borderId="48" xfId="0" applyNumberFormat="1" applyFont="1" applyFill="1" applyBorder="1" applyAlignment="1">
      <alignment horizontal="left" vertical="center"/>
    </xf>
    <xf numFmtId="196" fontId="0" fillId="0" borderId="40" xfId="0" applyNumberFormat="1" applyFont="1" applyFill="1" applyBorder="1" applyAlignment="1">
      <alignment horizontal="left" vertical="center"/>
    </xf>
    <xf numFmtId="196" fontId="0" fillId="0" borderId="41" xfId="0" applyNumberFormat="1" applyFont="1" applyFill="1" applyBorder="1" applyAlignment="1">
      <alignment horizontal="left" vertical="center"/>
    </xf>
    <xf numFmtId="0" fontId="10" fillId="0" borderId="55" xfId="0" applyFont="1" applyFill="1" applyBorder="1" applyAlignment="1">
      <alignment horizontal="center" vertical="center"/>
    </xf>
    <xf numFmtId="0" fontId="10" fillId="0" borderId="34" xfId="0" applyFont="1" applyFill="1" applyBorder="1" applyAlignment="1">
      <alignment horizontal="center" vertical="center"/>
    </xf>
    <xf numFmtId="197" fontId="0" fillId="0" borderId="56" xfId="0" applyNumberFormat="1" applyFont="1" applyBorder="1" applyAlignment="1">
      <alignment horizontal="left" vertical="center"/>
    </xf>
    <xf numFmtId="197" fontId="0" fillId="0" borderId="65" xfId="0" applyNumberFormat="1" applyFont="1" applyBorder="1" applyAlignment="1">
      <alignment horizontal="left" vertical="center"/>
    </xf>
    <xf numFmtId="197" fontId="0" fillId="0" borderId="57" xfId="0" applyNumberFormat="1" applyFont="1" applyBorder="1" applyAlignment="1">
      <alignment horizontal="left" vertical="center"/>
    </xf>
    <xf numFmtId="0" fontId="10" fillId="0" borderId="71" xfId="0" applyFont="1" applyFill="1" applyBorder="1" applyAlignment="1">
      <alignment horizontal="center" vertical="center"/>
    </xf>
    <xf numFmtId="0" fontId="10" fillId="0" borderId="274" xfId="0" applyFont="1" applyFill="1" applyBorder="1" applyAlignment="1">
      <alignment horizontal="center" vertical="center"/>
    </xf>
    <xf numFmtId="0" fontId="10" fillId="0" borderId="62" xfId="0" applyFont="1" applyFill="1" applyBorder="1" applyAlignment="1">
      <alignment horizontal="center" vertical="center"/>
    </xf>
    <xf numFmtId="198" fontId="0" fillId="28" borderId="48" xfId="0" applyNumberFormat="1" applyFont="1" applyFill="1" applyBorder="1" applyAlignment="1">
      <alignment horizontal="left" vertical="center"/>
    </xf>
    <xf numFmtId="198" fontId="0" fillId="28" borderId="40" xfId="0" applyNumberFormat="1" applyFont="1" applyFill="1" applyBorder="1" applyAlignment="1">
      <alignment horizontal="left" vertical="center"/>
    </xf>
    <xf numFmtId="198" fontId="0" fillId="28" borderId="41" xfId="0" applyNumberFormat="1" applyFont="1" applyFill="1" applyBorder="1" applyAlignment="1">
      <alignment horizontal="left" vertical="center"/>
    </xf>
    <xf numFmtId="0" fontId="10" fillId="0" borderId="69" xfId="0" applyFont="1" applyFill="1" applyBorder="1" applyAlignment="1">
      <alignment horizontal="center" vertical="center"/>
    </xf>
    <xf numFmtId="0" fontId="10" fillId="0" borderId="273"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58"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199" fontId="0" fillId="28" borderId="47" xfId="0" applyNumberFormat="1" applyFont="1" applyFill="1" applyBorder="1" applyAlignment="1">
      <alignment horizontal="left" vertical="center"/>
    </xf>
    <xf numFmtId="199" fontId="0" fillId="28" borderId="37" xfId="0" applyNumberFormat="1" applyFont="1" applyFill="1" applyBorder="1" applyAlignment="1">
      <alignment horizontal="left" vertical="center"/>
    </xf>
    <xf numFmtId="199" fontId="0" fillId="28" borderId="38" xfId="0" applyNumberFormat="1" applyFont="1" applyFill="1" applyBorder="1" applyAlignment="1">
      <alignment horizontal="left" vertical="center"/>
    </xf>
    <xf numFmtId="49" fontId="10" fillId="0" borderId="59" xfId="0" applyNumberFormat="1" applyFont="1" applyFill="1" applyBorder="1" applyAlignment="1">
      <alignment horizontal="center" vertical="center"/>
    </xf>
    <xf numFmtId="49" fontId="10" fillId="0" borderId="65" xfId="0" applyNumberFormat="1" applyFont="1" applyFill="1" applyBorder="1" applyAlignment="1">
      <alignment horizontal="center" vertical="center"/>
    </xf>
    <xf numFmtId="181" fontId="33" fillId="0" borderId="59" xfId="49" applyNumberFormat="1" applyFont="1" applyFill="1" applyBorder="1" applyAlignment="1">
      <alignment horizontal="center" vertical="center" shrinkToFit="1"/>
    </xf>
    <xf numFmtId="181" fontId="33" fillId="0" borderId="57" xfId="49" applyNumberFormat="1" applyFont="1" applyFill="1" applyBorder="1" applyAlignment="1">
      <alignment horizontal="center" vertical="center" shrinkToFit="1"/>
    </xf>
    <xf numFmtId="0" fontId="0" fillId="0" borderId="48"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38"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181" fontId="33" fillId="0" borderId="39" xfId="49" applyNumberFormat="1" applyFont="1" applyFill="1" applyBorder="1" applyAlignment="1">
      <alignment horizontal="center" vertical="center" shrinkToFit="1"/>
    </xf>
    <xf numFmtId="181" fontId="33" fillId="0" borderId="41" xfId="49" applyNumberFormat="1" applyFont="1" applyFill="1" applyBorder="1" applyAlignment="1">
      <alignment horizontal="center" vertical="center" shrinkToFit="1"/>
    </xf>
    <xf numFmtId="0" fontId="9" fillId="0" borderId="0" xfId="0" applyFont="1" applyAlignment="1">
      <alignment horizontal="center" vertical="center"/>
    </xf>
    <xf numFmtId="0" fontId="0" fillId="0" borderId="35" xfId="0" applyFont="1" applyBorder="1" applyAlignment="1">
      <alignment horizontal="center" vertical="center"/>
    </xf>
    <xf numFmtId="0" fontId="16" fillId="0" borderId="34" xfId="0" applyFont="1" applyFill="1" applyBorder="1" applyAlignment="1">
      <alignment horizontal="center" vertical="center"/>
    </xf>
    <xf numFmtId="0" fontId="16" fillId="0" borderId="89" xfId="0" applyFont="1" applyFill="1" applyBorder="1" applyAlignment="1">
      <alignment horizontal="center" vertical="center"/>
    </xf>
    <xf numFmtId="195" fontId="0" fillId="0" borderId="50" xfId="0" applyNumberFormat="1" applyFont="1" applyBorder="1" applyAlignment="1">
      <alignment horizontal="left" vertical="center"/>
    </xf>
    <xf numFmtId="195" fontId="0" fillId="0" borderId="51" xfId="0" applyNumberFormat="1" applyFont="1" applyBorder="1" applyAlignment="1">
      <alignment horizontal="left" vertical="center"/>
    </xf>
    <xf numFmtId="195" fontId="0" fillId="0" borderId="54" xfId="0" applyNumberFormat="1" applyFont="1" applyBorder="1" applyAlignment="1">
      <alignment horizontal="left" vertical="center"/>
    </xf>
    <xf numFmtId="38" fontId="10" fillId="0" borderId="53" xfId="0" applyNumberFormat="1" applyFont="1" applyFill="1" applyBorder="1" applyAlignment="1">
      <alignment horizontal="center" vertical="center"/>
    </xf>
    <xf numFmtId="0" fontId="10" fillId="0" borderId="51" xfId="0" applyFont="1" applyFill="1" applyBorder="1" applyAlignment="1">
      <alignment horizontal="center" vertical="center"/>
    </xf>
    <xf numFmtId="41" fontId="9" fillId="0" borderId="297" xfId="0" applyNumberFormat="1" applyFont="1" applyFill="1" applyBorder="1" applyAlignment="1">
      <alignment horizontal="center" vertical="center"/>
    </xf>
    <xf numFmtId="41" fontId="9" fillId="0" borderId="298" xfId="0" applyNumberFormat="1" applyFont="1" applyFill="1" applyBorder="1" applyAlignment="1">
      <alignment horizontal="center" vertical="center"/>
    </xf>
    <xf numFmtId="41" fontId="9" fillId="0" borderId="299" xfId="0" applyNumberFormat="1" applyFont="1" applyFill="1" applyBorder="1" applyAlignment="1">
      <alignment horizontal="center" vertical="center"/>
    </xf>
    <xf numFmtId="41" fontId="9" fillId="0" borderId="300" xfId="0" applyNumberFormat="1" applyFont="1" applyFill="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190" fontId="33" fillId="0" borderId="301" xfId="0" applyNumberFormat="1" applyFont="1" applyFill="1" applyBorder="1" applyAlignment="1">
      <alignment horizontal="center" vertical="center"/>
    </xf>
    <xf numFmtId="190" fontId="33" fillId="0" borderId="302" xfId="0" applyNumberFormat="1" applyFont="1" applyFill="1" applyBorder="1" applyAlignment="1">
      <alignment horizontal="center" vertical="center"/>
    </xf>
    <xf numFmtId="0" fontId="0" fillId="0" borderId="303" xfId="0" applyFont="1" applyFill="1" applyBorder="1" applyAlignment="1">
      <alignment horizontal="center" vertical="center"/>
    </xf>
    <xf numFmtId="0" fontId="0" fillId="0" borderId="301" xfId="0" applyFont="1" applyFill="1" applyBorder="1" applyAlignment="1">
      <alignment horizontal="center" vertical="center"/>
    </xf>
    <xf numFmtId="181" fontId="33" fillId="0" borderId="34" xfId="0" applyNumberFormat="1" applyFont="1" applyFill="1" applyBorder="1" applyAlignment="1">
      <alignment horizontal="center" vertical="center"/>
    </xf>
    <xf numFmtId="181" fontId="33" fillId="0" borderId="35" xfId="0" applyNumberFormat="1" applyFont="1" applyFill="1" applyBorder="1" applyAlignment="1">
      <alignment horizontal="center" vertical="center"/>
    </xf>
    <xf numFmtId="0" fontId="0" fillId="0" borderId="111" xfId="0" applyFont="1" applyBorder="1" applyAlignment="1">
      <alignment horizontal="center" vertical="center"/>
    </xf>
    <xf numFmtId="0" fontId="0" fillId="0" borderId="100" xfId="0" applyFont="1" applyBorder="1" applyAlignment="1">
      <alignment horizontal="center" vertical="center"/>
    </xf>
    <xf numFmtId="0" fontId="14" fillId="0" borderId="56" xfId="0" applyFont="1" applyBorder="1" applyAlignment="1">
      <alignment horizontal="center" vertical="center" wrapText="1"/>
    </xf>
    <xf numFmtId="0" fontId="14" fillId="0" borderId="49" xfId="0" applyFont="1" applyBorder="1" applyAlignment="1">
      <alignment horizontal="center" vertical="center" wrapText="1"/>
    </xf>
    <xf numFmtId="0" fontId="16" fillId="0" borderId="55" xfId="0" applyFont="1" applyFill="1" applyBorder="1" applyAlignment="1">
      <alignment horizontal="center" vertical="center"/>
    </xf>
    <xf numFmtId="0" fontId="16" fillId="0" borderId="35" xfId="0" applyFont="1" applyFill="1" applyBorder="1" applyAlignment="1">
      <alignment horizontal="center" vertical="center"/>
    </xf>
    <xf numFmtId="41" fontId="33" fillId="0" borderId="48" xfId="0" applyNumberFormat="1" applyFont="1" applyFill="1" applyBorder="1" applyAlignment="1">
      <alignment horizontal="center" vertical="center"/>
    </xf>
    <xf numFmtId="41" fontId="33" fillId="0" borderId="41" xfId="0" applyNumberFormat="1" applyFont="1" applyFill="1" applyBorder="1" applyAlignment="1">
      <alignment horizontal="center" vertical="center"/>
    </xf>
    <xf numFmtId="0" fontId="11" fillId="0" borderId="0" xfId="0" applyFont="1" applyFill="1" applyAlignment="1">
      <alignment horizontal="left" vertical="center"/>
    </xf>
    <xf numFmtId="0" fontId="11" fillId="0" borderId="286" xfId="0" applyFont="1" applyFill="1" applyBorder="1" applyAlignment="1">
      <alignment horizontal="left" vertical="center"/>
    </xf>
    <xf numFmtId="0" fontId="10" fillId="0" borderId="56" xfId="0" applyFont="1" applyFill="1" applyBorder="1" applyAlignment="1">
      <alignment horizontal="center" vertical="center" wrapText="1"/>
    </xf>
    <xf numFmtId="0" fontId="10" fillId="0" borderId="50" xfId="0" applyFont="1" applyFill="1" applyBorder="1" applyAlignment="1">
      <alignment horizontal="center" vertical="center" wrapText="1"/>
    </xf>
    <xf numFmtId="201" fontId="0" fillId="28" borderId="46" xfId="0" applyNumberFormat="1" applyFont="1" applyFill="1" applyBorder="1" applyAlignment="1">
      <alignment horizontal="left" vertical="center"/>
    </xf>
    <xf numFmtId="201" fontId="0" fillId="28" borderId="42"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65" xfId="0" applyFont="1" applyBorder="1" applyAlignment="1">
      <alignment horizontal="left" vertical="center"/>
    </xf>
    <xf numFmtId="0" fontId="0" fillId="0" borderId="57" xfId="0" applyFont="1" applyBorder="1" applyAlignment="1">
      <alignment horizontal="left" vertical="center"/>
    </xf>
    <xf numFmtId="0" fontId="0" fillId="0" borderId="304" xfId="0" applyFont="1" applyBorder="1" applyAlignment="1">
      <alignment horizontal="center" vertical="center" wrapText="1"/>
    </xf>
    <xf numFmtId="0" fontId="0" fillId="0" borderId="305" xfId="0" applyFont="1" applyBorder="1" applyAlignment="1">
      <alignment horizontal="center" vertical="center" wrapText="1"/>
    </xf>
    <xf numFmtId="0" fontId="0" fillId="0" borderId="306" xfId="0" applyFont="1" applyBorder="1" applyAlignment="1">
      <alignment horizontal="center" vertical="center" wrapText="1"/>
    </xf>
    <xf numFmtId="0" fontId="11" fillId="0" borderId="0" xfId="0" applyFont="1" applyFill="1" applyBorder="1" applyAlignment="1">
      <alignment horizontal="left" vertical="center"/>
    </xf>
    <xf numFmtId="0" fontId="10" fillId="0" borderId="71" xfId="0" applyFont="1" applyFill="1" applyBorder="1" applyAlignment="1">
      <alignment horizontal="center" vertical="center" textRotation="255"/>
    </xf>
    <xf numFmtId="0" fontId="10" fillId="0" borderId="72" xfId="0" applyFont="1" applyFill="1" applyBorder="1" applyAlignment="1">
      <alignment horizontal="center" vertical="center" textRotation="255"/>
    </xf>
    <xf numFmtId="0" fontId="10" fillId="0" borderId="69" xfId="0" applyFont="1" applyFill="1" applyBorder="1" applyAlignment="1">
      <alignment horizontal="center" vertical="center" textRotation="255"/>
    </xf>
    <xf numFmtId="0" fontId="10" fillId="0" borderId="5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35" xfId="0" applyFont="1" applyFill="1" applyBorder="1" applyAlignment="1">
      <alignment horizontal="center" vertical="center"/>
    </xf>
    <xf numFmtId="49" fontId="10" fillId="0" borderId="56" xfId="0" applyNumberFormat="1" applyFont="1" applyFill="1" applyBorder="1" applyAlignment="1">
      <alignment horizontal="center" vertical="center"/>
    </xf>
    <xf numFmtId="38" fontId="10" fillId="0" borderId="48" xfId="0" applyNumberFormat="1" applyFont="1" applyFill="1" applyBorder="1" applyAlignment="1">
      <alignment horizontal="center" vertical="center"/>
    </xf>
    <xf numFmtId="181" fontId="33" fillId="0" borderId="59" xfId="49" applyNumberFormat="1" applyFont="1" applyFill="1" applyBorder="1" applyAlignment="1">
      <alignment horizontal="center" vertical="center"/>
    </xf>
    <xf numFmtId="181" fontId="33" fillId="0" borderId="57" xfId="49" applyNumberFormat="1" applyFont="1" applyFill="1" applyBorder="1" applyAlignment="1">
      <alignment horizontal="center" vertical="center"/>
    </xf>
    <xf numFmtId="181" fontId="33" fillId="0" borderId="39" xfId="49" applyNumberFormat="1" applyFont="1" applyFill="1" applyBorder="1" applyAlignment="1">
      <alignment horizontal="center" vertical="center"/>
    </xf>
    <xf numFmtId="181" fontId="33" fillId="0" borderId="41" xfId="49" applyNumberFormat="1" applyFont="1" applyFill="1" applyBorder="1" applyAlignment="1">
      <alignment horizontal="center" vertical="center"/>
    </xf>
    <xf numFmtId="181" fontId="33" fillId="0" borderId="53" xfId="49" applyNumberFormat="1" applyFont="1" applyFill="1" applyBorder="1" applyAlignment="1">
      <alignment horizontal="center" vertical="center"/>
    </xf>
    <xf numFmtId="181" fontId="33" fillId="0" borderId="54" xfId="49" applyNumberFormat="1" applyFont="1" applyFill="1" applyBorder="1" applyAlignment="1">
      <alignment horizontal="center" vertical="center"/>
    </xf>
    <xf numFmtId="38" fontId="10" fillId="0" borderId="50" xfId="0" applyNumberFormat="1" applyFont="1" applyFill="1" applyBorder="1" applyAlignment="1">
      <alignment horizontal="center" vertical="center"/>
    </xf>
    <xf numFmtId="181" fontId="14" fillId="0" borderId="0" xfId="0" applyNumberFormat="1" applyFont="1" applyFill="1" applyBorder="1" applyAlignment="1">
      <alignment horizontal="center" vertical="center"/>
    </xf>
    <xf numFmtId="0" fontId="10" fillId="0" borderId="66" xfId="0" applyFont="1" applyFill="1" applyBorder="1" applyAlignment="1">
      <alignment horizontal="center" vertical="center"/>
    </xf>
    <xf numFmtId="0" fontId="10" fillId="0" borderId="74" xfId="0" applyFont="1" applyFill="1" applyBorder="1" applyAlignment="1">
      <alignment horizontal="center" vertical="center"/>
    </xf>
    <xf numFmtId="41" fontId="33" fillId="28" borderId="59" xfId="49" applyNumberFormat="1" applyFont="1" applyFill="1" applyBorder="1" applyAlignment="1">
      <alignment horizontal="center" vertical="center"/>
    </xf>
    <xf numFmtId="41" fontId="33" fillId="28" borderId="57" xfId="49" applyNumberFormat="1" applyFont="1" applyFill="1" applyBorder="1" applyAlignment="1">
      <alignment horizontal="center" vertical="center"/>
    </xf>
    <xf numFmtId="41" fontId="33" fillId="0" borderId="56" xfId="0" applyNumberFormat="1" applyFont="1" applyFill="1" applyBorder="1" applyAlignment="1">
      <alignment horizontal="center" vertical="center"/>
    </xf>
    <xf numFmtId="41" fontId="33" fillId="0" borderId="57" xfId="0" applyNumberFormat="1" applyFont="1" applyFill="1" applyBorder="1" applyAlignment="1">
      <alignment horizontal="center" vertical="center"/>
    </xf>
    <xf numFmtId="41" fontId="33" fillId="28" borderId="39" xfId="49" applyNumberFormat="1" applyFont="1" applyFill="1" applyBorder="1" applyAlignment="1">
      <alignment horizontal="center" vertical="center"/>
    </xf>
    <xf numFmtId="41" fontId="33" fillId="28" borderId="41" xfId="49" applyNumberFormat="1" applyFont="1" applyFill="1" applyBorder="1" applyAlignment="1">
      <alignment horizontal="center" vertical="center"/>
    </xf>
    <xf numFmtId="41" fontId="33" fillId="0" borderId="53" xfId="49" applyNumberFormat="1" applyFont="1" applyFill="1" applyBorder="1" applyAlignment="1">
      <alignment horizontal="center" vertical="center"/>
    </xf>
    <xf numFmtId="41" fontId="33" fillId="0" borderId="54" xfId="49" applyNumberFormat="1" applyFont="1" applyFill="1" applyBorder="1" applyAlignment="1">
      <alignment horizontal="center" vertical="center"/>
    </xf>
    <xf numFmtId="41" fontId="33" fillId="0" borderId="50" xfId="0" applyNumberFormat="1" applyFont="1" applyFill="1" applyBorder="1" applyAlignment="1">
      <alignment horizontal="center" vertical="center"/>
    </xf>
    <xf numFmtId="41" fontId="33" fillId="0" borderId="54" xfId="0" applyNumberFormat="1" applyFont="1" applyFill="1" applyBorder="1" applyAlignment="1">
      <alignment horizontal="center" vertical="center"/>
    </xf>
    <xf numFmtId="41" fontId="33" fillId="0" borderId="117" xfId="0" applyNumberFormat="1" applyFont="1" applyFill="1" applyBorder="1" applyAlignment="1">
      <alignment horizontal="center" vertical="center"/>
    </xf>
    <xf numFmtId="41" fontId="33" fillId="0" borderId="44" xfId="0" applyNumberFormat="1" applyFont="1" applyFill="1" applyBorder="1" applyAlignment="1">
      <alignment horizontal="center" vertical="center"/>
    </xf>
    <xf numFmtId="41" fontId="33" fillId="0" borderId="45" xfId="49" applyNumberFormat="1" applyFont="1" applyFill="1" applyBorder="1" applyAlignment="1">
      <alignment horizontal="center" vertical="center"/>
    </xf>
    <xf numFmtId="41" fontId="33" fillId="0" borderId="42" xfId="49" applyNumberFormat="1" applyFont="1" applyFill="1" applyBorder="1" applyAlignment="1">
      <alignment horizontal="center" vertical="center"/>
    </xf>
    <xf numFmtId="41" fontId="33" fillId="0" borderId="49" xfId="0" applyNumberFormat="1" applyFont="1" applyFill="1" applyBorder="1" applyAlignment="1">
      <alignment horizontal="center" vertical="center"/>
    </xf>
    <xf numFmtId="41" fontId="33" fillId="0" borderId="42" xfId="0" applyNumberFormat="1" applyFont="1" applyFill="1" applyBorder="1" applyAlignment="1">
      <alignment horizontal="center" vertical="center"/>
    </xf>
    <xf numFmtId="0" fontId="10" fillId="0" borderId="287" xfId="0" applyFont="1" applyFill="1" applyBorder="1" applyAlignment="1">
      <alignment horizontal="center" vertical="center"/>
    </xf>
    <xf numFmtId="41" fontId="33" fillId="0" borderId="287" xfId="0" applyNumberFormat="1" applyFont="1" applyFill="1" applyBorder="1" applyAlignment="1">
      <alignment horizontal="center" vertical="center"/>
    </xf>
    <xf numFmtId="41" fontId="33" fillId="0" borderId="47" xfId="0" applyNumberFormat="1" applyFont="1" applyFill="1" applyBorder="1" applyAlignment="1">
      <alignment horizontal="center" vertical="center"/>
    </xf>
    <xf numFmtId="41" fontId="33" fillId="0" borderId="38" xfId="0" applyNumberFormat="1" applyFont="1" applyFill="1" applyBorder="1" applyAlignment="1">
      <alignment horizontal="center" vertical="center"/>
    </xf>
    <xf numFmtId="41" fontId="33" fillId="28" borderId="36" xfId="49" applyNumberFormat="1" applyFont="1" applyFill="1" applyBorder="1" applyAlignment="1">
      <alignment horizontal="center" vertical="center"/>
    </xf>
    <xf numFmtId="41" fontId="33" fillId="28" borderId="38" xfId="49" applyNumberFormat="1" applyFont="1" applyFill="1" applyBorder="1" applyAlignment="1">
      <alignment horizontal="center" vertical="center"/>
    </xf>
    <xf numFmtId="0" fontId="0" fillId="0" borderId="78" xfId="0" applyBorder="1" applyAlignment="1">
      <alignment horizontal="center" vertical="center"/>
    </xf>
    <xf numFmtId="0" fontId="0" fillId="0" borderId="78" xfId="0" applyBorder="1" applyAlignment="1">
      <alignment horizontal="left" vertical="top" wrapText="1"/>
    </xf>
    <xf numFmtId="0" fontId="0" fillId="0" borderId="11" xfId="0" applyBorder="1" applyAlignment="1">
      <alignment horizontal="center" vertical="center"/>
    </xf>
    <xf numFmtId="0" fontId="76" fillId="0" borderId="14" xfId="0" applyFont="1" applyBorder="1" applyAlignment="1">
      <alignment horizontal="left" vertical="center" wrapText="1"/>
    </xf>
    <xf numFmtId="0" fontId="76" fillId="0" borderId="15" xfId="0" applyFont="1" applyBorder="1" applyAlignment="1">
      <alignment horizontal="left" vertical="center" wrapText="1"/>
    </xf>
    <xf numFmtId="0" fontId="76" fillId="0" borderId="16" xfId="0" applyFont="1" applyBorder="1" applyAlignment="1">
      <alignment horizontal="left" vertical="center" wrapText="1"/>
    </xf>
    <xf numFmtId="0" fontId="76" fillId="0" borderId="12" xfId="0" applyFont="1" applyBorder="1" applyAlignment="1">
      <alignment horizontal="left" vertical="center" wrapText="1"/>
    </xf>
    <xf numFmtId="0" fontId="76" fillId="0" borderId="11" xfId="0" applyFont="1" applyBorder="1" applyAlignment="1">
      <alignment horizontal="left" vertical="center" wrapText="1"/>
    </xf>
    <xf numFmtId="0" fontId="76" fillId="0" borderId="13" xfId="0" applyFont="1" applyBorder="1" applyAlignment="1">
      <alignment horizontal="left" vertical="center"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7">
    <dxf/>
    <dxf/>
    <dxf>
      <font>
        <color theme="0"/>
      </font>
    </dxf>
    <dxf>
      <font>
        <color theme="0"/>
      </font>
      <fill>
        <patternFill>
          <fgColor theme="0"/>
          <bgColor theme="0"/>
        </patternFill>
      </fill>
    </dxf>
    <dxf/>
    <dxf>
      <font>
        <color theme="0"/>
      </font>
      <fill>
        <patternFill>
          <fgColor theme="0"/>
          <bgColor theme="0"/>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72">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theme="0"/>
  </sheetPr>
  <dimension ref="A1:R146"/>
  <sheetViews>
    <sheetView zoomScalePageLayoutView="0" workbookViewId="0" topLeftCell="A1">
      <pane ySplit="2" topLeftCell="A3" activePane="bottomLeft" state="frozen"/>
      <selection pane="topLeft" activeCell="C1" sqref="C1"/>
      <selection pane="bottomLeft" activeCell="M26" sqref="M26"/>
    </sheetView>
  </sheetViews>
  <sheetFormatPr defaultColWidth="4.125" defaultRowHeight="13.5"/>
  <cols>
    <col min="1" max="1" width="17.625" style="20" customWidth="1"/>
    <col min="2" max="2" width="10.50390625" style="20" customWidth="1"/>
    <col min="3" max="3" width="6.375" style="20" customWidth="1"/>
    <col min="4" max="4" width="2.50390625" style="20" customWidth="1"/>
    <col min="5" max="17" width="7.625" style="288" customWidth="1"/>
    <col min="18" max="18" width="9.75390625" style="20" customWidth="1"/>
    <col min="19" max="16384" width="4.125" style="20" customWidth="1"/>
  </cols>
  <sheetData>
    <row r="1" spans="1:17" s="19" customFormat="1" ht="20.25" customHeight="1">
      <c r="A1" s="357" t="s">
        <v>159</v>
      </c>
      <c r="B1" s="357"/>
      <c r="C1" s="357"/>
      <c r="D1" s="18"/>
      <c r="E1" s="358"/>
      <c r="F1" s="358"/>
      <c r="G1" s="358"/>
      <c r="H1" s="288"/>
      <c r="I1" s="288"/>
      <c r="J1" s="288"/>
      <c r="K1" s="288"/>
      <c r="L1" s="288"/>
      <c r="M1" s="288"/>
      <c r="N1" s="288"/>
      <c r="O1" s="288"/>
      <c r="P1" s="288"/>
      <c r="Q1" s="288"/>
    </row>
    <row r="2" spans="1:17" ht="15" customHeight="1">
      <c r="A2" s="356" t="s">
        <v>157</v>
      </c>
      <c r="B2" s="119" t="s">
        <v>160</v>
      </c>
      <c r="C2" s="1186" t="s">
        <v>161</v>
      </c>
      <c r="D2" s="1187"/>
      <c r="E2" s="289" t="s">
        <v>573</v>
      </c>
      <c r="F2" s="290" t="s">
        <v>574</v>
      </c>
      <c r="G2" s="290" t="s">
        <v>575</v>
      </c>
      <c r="H2" s="290" t="s">
        <v>576</v>
      </c>
      <c r="I2" s="290" t="s">
        <v>577</v>
      </c>
      <c r="J2" s="290" t="s">
        <v>578</v>
      </c>
      <c r="K2" s="290" t="s">
        <v>579</v>
      </c>
      <c r="L2" s="290" t="s">
        <v>580</v>
      </c>
      <c r="M2" s="290" t="s">
        <v>581</v>
      </c>
      <c r="N2" s="290" t="s">
        <v>582</v>
      </c>
      <c r="O2" s="290" t="s">
        <v>583</v>
      </c>
      <c r="P2" s="291" t="s">
        <v>584</v>
      </c>
      <c r="Q2" s="292" t="s">
        <v>585</v>
      </c>
    </row>
    <row r="3" spans="1:17" s="31" customFormat="1" ht="14.25">
      <c r="A3" s="372" t="s">
        <v>605</v>
      </c>
      <c r="B3" s="118" t="s">
        <v>331</v>
      </c>
      <c r="C3" s="375">
        <v>10</v>
      </c>
      <c r="D3" s="376" t="s">
        <v>315</v>
      </c>
      <c r="E3" s="293">
        <v>0.425</v>
      </c>
      <c r="F3" s="294">
        <v>0.825</v>
      </c>
      <c r="G3" s="294">
        <v>3.075</v>
      </c>
      <c r="H3" s="294">
        <v>0.675</v>
      </c>
      <c r="I3" s="294">
        <v>1.38</v>
      </c>
      <c r="J3" s="294">
        <v>2.035</v>
      </c>
      <c r="K3" s="294">
        <v>0.17</v>
      </c>
      <c r="L3" s="294">
        <v>0.12</v>
      </c>
      <c r="M3" s="294">
        <v>0.195</v>
      </c>
      <c r="N3" s="294">
        <v>1.22</v>
      </c>
      <c r="O3" s="294">
        <v>0.075</v>
      </c>
      <c r="P3" s="295">
        <v>0</v>
      </c>
      <c r="Q3" s="296">
        <f aca="true" t="shared" si="0" ref="Q3:Q39">SUM(E3:P3)</f>
        <v>10.194999999999999</v>
      </c>
    </row>
    <row r="4" spans="1:18" ht="15" customHeight="1">
      <c r="A4" s="373" t="s">
        <v>327</v>
      </c>
      <c r="B4" s="115" t="s">
        <v>330</v>
      </c>
      <c r="C4" s="377">
        <v>10</v>
      </c>
      <c r="D4" s="378" t="s">
        <v>315</v>
      </c>
      <c r="E4" s="369">
        <v>0</v>
      </c>
      <c r="F4" s="370">
        <v>0.8</v>
      </c>
      <c r="G4" s="370">
        <v>4.66</v>
      </c>
      <c r="H4" s="370">
        <v>0.24</v>
      </c>
      <c r="I4" s="370">
        <v>2.04</v>
      </c>
      <c r="J4" s="370">
        <v>2.84</v>
      </c>
      <c r="K4" s="370">
        <v>0.34</v>
      </c>
      <c r="L4" s="370">
        <v>0.24</v>
      </c>
      <c r="M4" s="370">
        <v>0.24</v>
      </c>
      <c r="N4" s="370">
        <v>2.44</v>
      </c>
      <c r="O4" s="370">
        <v>0</v>
      </c>
      <c r="P4" s="371">
        <v>0</v>
      </c>
      <c r="Q4" s="297">
        <f>SUM(E4:P4)</f>
        <v>13.84</v>
      </c>
      <c r="R4" s="20" t="s">
        <v>332</v>
      </c>
    </row>
    <row r="5" spans="1:18" ht="15" customHeight="1">
      <c r="A5" s="373" t="s">
        <v>328</v>
      </c>
      <c r="B5" s="115" t="s">
        <v>329</v>
      </c>
      <c r="C5" s="377">
        <v>10</v>
      </c>
      <c r="D5" s="378" t="s">
        <v>315</v>
      </c>
      <c r="E5" s="369">
        <v>0.85</v>
      </c>
      <c r="F5" s="370">
        <v>0.85</v>
      </c>
      <c r="G5" s="370">
        <v>1.49</v>
      </c>
      <c r="H5" s="370">
        <v>1.11</v>
      </c>
      <c r="I5" s="370">
        <v>0.72</v>
      </c>
      <c r="J5" s="370">
        <v>1.23</v>
      </c>
      <c r="K5" s="370">
        <v>0</v>
      </c>
      <c r="L5" s="370">
        <v>0</v>
      </c>
      <c r="M5" s="370">
        <v>0.15</v>
      </c>
      <c r="N5" s="370">
        <v>0</v>
      </c>
      <c r="O5" s="370">
        <v>0.15</v>
      </c>
      <c r="P5" s="371">
        <v>0</v>
      </c>
      <c r="Q5" s="297">
        <f>SUM(E5:P5)</f>
        <v>6.550000000000001</v>
      </c>
      <c r="R5" s="20" t="s">
        <v>604</v>
      </c>
    </row>
    <row r="6" spans="1:18" ht="15" customHeight="1">
      <c r="A6" s="373" t="s">
        <v>325</v>
      </c>
      <c r="B6" s="115" t="s">
        <v>329</v>
      </c>
      <c r="C6" s="377">
        <v>10</v>
      </c>
      <c r="D6" s="378" t="s">
        <v>315</v>
      </c>
      <c r="E6" s="286">
        <v>1</v>
      </c>
      <c r="F6" s="96">
        <v>1</v>
      </c>
      <c r="G6" s="96">
        <v>1</v>
      </c>
      <c r="H6" s="96">
        <v>3</v>
      </c>
      <c r="I6" s="96">
        <v>3</v>
      </c>
      <c r="J6" s="96">
        <v>1.2</v>
      </c>
      <c r="K6" s="96">
        <v>0.7</v>
      </c>
      <c r="L6" s="96">
        <f>0.7+6.4+1.5</f>
        <v>8.600000000000001</v>
      </c>
      <c r="M6" s="96">
        <v>2.5</v>
      </c>
      <c r="N6" s="96">
        <v>1.5</v>
      </c>
      <c r="O6" s="96">
        <v>1</v>
      </c>
      <c r="P6" s="287">
        <v>1.3</v>
      </c>
      <c r="Q6" s="297">
        <f t="shared" si="0"/>
        <v>25.8</v>
      </c>
      <c r="R6" s="20" t="s">
        <v>332</v>
      </c>
    </row>
    <row r="7" spans="1:17" ht="15" customHeight="1">
      <c r="A7" s="373" t="s">
        <v>323</v>
      </c>
      <c r="B7" s="115" t="s">
        <v>324</v>
      </c>
      <c r="C7" s="377">
        <v>10</v>
      </c>
      <c r="D7" s="378" t="s">
        <v>315</v>
      </c>
      <c r="E7" s="298">
        <v>0</v>
      </c>
      <c r="F7" s="299">
        <v>0</v>
      </c>
      <c r="G7" s="299">
        <v>3.7</v>
      </c>
      <c r="H7" s="299">
        <v>20</v>
      </c>
      <c r="I7" s="299">
        <v>15.7</v>
      </c>
      <c r="J7" s="299">
        <v>93</v>
      </c>
      <c r="K7" s="299">
        <v>74</v>
      </c>
      <c r="L7" s="299">
        <v>0</v>
      </c>
      <c r="M7" s="299">
        <v>0.4</v>
      </c>
      <c r="N7" s="299">
        <v>6.5</v>
      </c>
      <c r="O7" s="299">
        <v>4.5</v>
      </c>
      <c r="P7" s="300">
        <v>0</v>
      </c>
      <c r="Q7" s="297">
        <f t="shared" si="0"/>
        <v>217.8</v>
      </c>
    </row>
    <row r="8" spans="1:18" ht="15" customHeight="1">
      <c r="A8" s="373" t="s">
        <v>333</v>
      </c>
      <c r="B8" s="115" t="s">
        <v>329</v>
      </c>
      <c r="C8" s="377">
        <v>10</v>
      </c>
      <c r="D8" s="378" t="s">
        <v>315</v>
      </c>
      <c r="E8" s="286">
        <v>1.5</v>
      </c>
      <c r="F8" s="96">
        <v>1</v>
      </c>
      <c r="G8" s="96">
        <v>2.5</v>
      </c>
      <c r="H8" s="96">
        <v>0.5</v>
      </c>
      <c r="I8" s="96">
        <v>3.3</v>
      </c>
      <c r="J8" s="96">
        <v>3</v>
      </c>
      <c r="K8" s="96">
        <v>1</v>
      </c>
      <c r="L8" s="96">
        <v>0</v>
      </c>
      <c r="M8" s="96">
        <v>0</v>
      </c>
      <c r="N8" s="96">
        <v>0</v>
      </c>
      <c r="O8" s="96">
        <v>0</v>
      </c>
      <c r="P8" s="287">
        <v>1</v>
      </c>
      <c r="Q8" s="297">
        <f>SUM(E8:P8)</f>
        <v>13.8</v>
      </c>
      <c r="R8" s="20" t="s">
        <v>332</v>
      </c>
    </row>
    <row r="9" spans="1:17" ht="15" customHeight="1">
      <c r="A9" s="352" t="s">
        <v>162</v>
      </c>
      <c r="B9" s="116" t="s">
        <v>163</v>
      </c>
      <c r="C9" s="377">
        <v>10</v>
      </c>
      <c r="D9" s="379" t="s">
        <v>164</v>
      </c>
      <c r="E9" s="298">
        <v>124.2</v>
      </c>
      <c r="F9" s="299">
        <v>174.2</v>
      </c>
      <c r="G9" s="299">
        <v>186.2</v>
      </c>
      <c r="H9" s="299">
        <v>162.2</v>
      </c>
      <c r="I9" s="299">
        <v>166.2</v>
      </c>
      <c r="J9" s="299">
        <v>144.6</v>
      </c>
      <c r="K9" s="299">
        <v>0</v>
      </c>
      <c r="L9" s="299">
        <v>0</v>
      </c>
      <c r="M9" s="299">
        <v>7</v>
      </c>
      <c r="N9" s="299">
        <v>75.8</v>
      </c>
      <c r="O9" s="299">
        <v>24.8</v>
      </c>
      <c r="P9" s="300">
        <v>24.8</v>
      </c>
      <c r="Q9" s="297">
        <f t="shared" si="0"/>
        <v>1090</v>
      </c>
    </row>
    <row r="10" spans="1:17" ht="15" customHeight="1">
      <c r="A10" s="352" t="s">
        <v>165</v>
      </c>
      <c r="B10" s="116" t="s">
        <v>166</v>
      </c>
      <c r="C10" s="377">
        <v>10</v>
      </c>
      <c r="D10" s="379" t="s">
        <v>167</v>
      </c>
      <c r="E10" s="298">
        <v>159</v>
      </c>
      <c r="F10" s="299">
        <v>155</v>
      </c>
      <c r="G10" s="299">
        <v>180</v>
      </c>
      <c r="H10" s="299">
        <v>176</v>
      </c>
      <c r="I10" s="299">
        <v>204</v>
      </c>
      <c r="J10" s="299">
        <v>229</v>
      </c>
      <c r="K10" s="299">
        <v>101</v>
      </c>
      <c r="L10" s="299">
        <v>134</v>
      </c>
      <c r="M10" s="299">
        <v>64</v>
      </c>
      <c r="N10" s="299">
        <v>32</v>
      </c>
      <c r="O10" s="299">
        <v>38</v>
      </c>
      <c r="P10" s="300">
        <v>152</v>
      </c>
      <c r="Q10" s="297">
        <f t="shared" si="0"/>
        <v>1624</v>
      </c>
    </row>
    <row r="11" spans="1:17" ht="15" customHeight="1">
      <c r="A11" s="352" t="s">
        <v>168</v>
      </c>
      <c r="B11" s="116" t="s">
        <v>169</v>
      </c>
      <c r="C11" s="377">
        <v>10</v>
      </c>
      <c r="D11" s="379" t="s">
        <v>170</v>
      </c>
      <c r="E11" s="298">
        <v>384.5</v>
      </c>
      <c r="F11" s="299">
        <v>15</v>
      </c>
      <c r="G11" s="299">
        <v>0</v>
      </c>
      <c r="H11" s="299">
        <v>0</v>
      </c>
      <c r="I11" s="299">
        <v>0</v>
      </c>
      <c r="J11" s="299">
        <v>0</v>
      </c>
      <c r="K11" s="299">
        <v>0</v>
      </c>
      <c r="L11" s="299">
        <v>0</v>
      </c>
      <c r="M11" s="299">
        <v>30</v>
      </c>
      <c r="N11" s="299">
        <v>45</v>
      </c>
      <c r="O11" s="299">
        <v>47.5</v>
      </c>
      <c r="P11" s="300">
        <v>24</v>
      </c>
      <c r="Q11" s="297">
        <f t="shared" si="0"/>
        <v>546</v>
      </c>
    </row>
    <row r="12" spans="1:17" ht="15" customHeight="1">
      <c r="A12" s="354" t="s">
        <v>171</v>
      </c>
      <c r="B12" s="116" t="s">
        <v>163</v>
      </c>
      <c r="C12" s="377">
        <v>10</v>
      </c>
      <c r="D12" s="379" t="s">
        <v>164</v>
      </c>
      <c r="E12" s="298">
        <v>82.5</v>
      </c>
      <c r="F12" s="299">
        <v>332</v>
      </c>
      <c r="G12" s="299">
        <v>242</v>
      </c>
      <c r="H12" s="299">
        <v>405</v>
      </c>
      <c r="I12" s="299">
        <v>0</v>
      </c>
      <c r="J12" s="299">
        <v>0</v>
      </c>
      <c r="K12" s="299">
        <v>0</v>
      </c>
      <c r="L12" s="299">
        <v>0</v>
      </c>
      <c r="M12" s="299">
        <v>0</v>
      </c>
      <c r="N12" s="299">
        <v>6</v>
      </c>
      <c r="O12" s="299">
        <v>65</v>
      </c>
      <c r="P12" s="300">
        <v>52.5</v>
      </c>
      <c r="Q12" s="297">
        <f t="shared" si="0"/>
        <v>1185</v>
      </c>
    </row>
    <row r="13" spans="1:17" ht="15" customHeight="1">
      <c r="A13" s="354" t="s">
        <v>172</v>
      </c>
      <c r="B13" s="116" t="s">
        <v>163</v>
      </c>
      <c r="C13" s="377">
        <v>10</v>
      </c>
      <c r="D13" s="379" t="s">
        <v>164</v>
      </c>
      <c r="E13" s="298">
        <v>122</v>
      </c>
      <c r="F13" s="299">
        <v>20.5</v>
      </c>
      <c r="G13" s="299">
        <v>8</v>
      </c>
      <c r="H13" s="299">
        <v>374.3</v>
      </c>
      <c r="I13" s="299">
        <v>15</v>
      </c>
      <c r="J13" s="299">
        <v>0</v>
      </c>
      <c r="K13" s="299">
        <v>0</v>
      </c>
      <c r="L13" s="299">
        <v>0</v>
      </c>
      <c r="M13" s="299">
        <v>24</v>
      </c>
      <c r="N13" s="299">
        <v>17.5</v>
      </c>
      <c r="O13" s="299">
        <v>15</v>
      </c>
      <c r="P13" s="300">
        <v>286.2</v>
      </c>
      <c r="Q13" s="297">
        <f t="shared" si="0"/>
        <v>882.5</v>
      </c>
    </row>
    <row r="14" spans="1:17" ht="15" customHeight="1">
      <c r="A14" s="352" t="s">
        <v>173</v>
      </c>
      <c r="B14" s="116" t="s">
        <v>174</v>
      </c>
      <c r="C14" s="377">
        <v>10</v>
      </c>
      <c r="D14" s="379" t="s">
        <v>167</v>
      </c>
      <c r="E14" s="298">
        <v>51</v>
      </c>
      <c r="F14" s="299">
        <v>64.5</v>
      </c>
      <c r="G14" s="299">
        <v>0</v>
      </c>
      <c r="H14" s="299">
        <v>0</v>
      </c>
      <c r="I14" s="299">
        <v>0</v>
      </c>
      <c r="J14" s="299">
        <v>0</v>
      </c>
      <c r="K14" s="299">
        <v>0</v>
      </c>
      <c r="L14" s="299">
        <v>0</v>
      </c>
      <c r="M14" s="299">
        <v>88</v>
      </c>
      <c r="N14" s="299">
        <v>17</v>
      </c>
      <c r="O14" s="299">
        <v>10.5</v>
      </c>
      <c r="P14" s="300">
        <v>122.5</v>
      </c>
      <c r="Q14" s="297">
        <f t="shared" si="0"/>
        <v>353.5</v>
      </c>
    </row>
    <row r="15" spans="1:18" s="21" customFormat="1" ht="15" customHeight="1">
      <c r="A15" s="352" t="s">
        <v>175</v>
      </c>
      <c r="B15" s="116" t="s">
        <v>115</v>
      </c>
      <c r="C15" s="377">
        <v>10</v>
      </c>
      <c r="D15" s="380" t="s">
        <v>167</v>
      </c>
      <c r="E15" s="298">
        <v>31</v>
      </c>
      <c r="F15" s="299">
        <v>1</v>
      </c>
      <c r="G15" s="299">
        <v>11</v>
      </c>
      <c r="H15" s="299">
        <v>69</v>
      </c>
      <c r="I15" s="299">
        <v>97</v>
      </c>
      <c r="J15" s="299">
        <v>63</v>
      </c>
      <c r="K15" s="299">
        <v>3</v>
      </c>
      <c r="L15" s="301">
        <v>0</v>
      </c>
      <c r="M15" s="301">
        <v>0</v>
      </c>
      <c r="N15" s="301">
        <v>0</v>
      </c>
      <c r="O15" s="301">
        <v>0</v>
      </c>
      <c r="P15" s="302">
        <v>1</v>
      </c>
      <c r="Q15" s="303">
        <f t="shared" si="0"/>
        <v>276</v>
      </c>
      <c r="R15" s="21" t="s">
        <v>332</v>
      </c>
    </row>
    <row r="16" spans="1:17" s="21" customFormat="1" ht="15" customHeight="1">
      <c r="A16" s="355" t="s">
        <v>569</v>
      </c>
      <c r="B16" s="116" t="s">
        <v>115</v>
      </c>
      <c r="C16" s="377">
        <v>10</v>
      </c>
      <c r="D16" s="380" t="s">
        <v>570</v>
      </c>
      <c r="E16" s="298">
        <v>0</v>
      </c>
      <c r="F16" s="299">
        <v>0</v>
      </c>
      <c r="G16" s="299">
        <v>0</v>
      </c>
      <c r="H16" s="299">
        <v>0</v>
      </c>
      <c r="I16" s="299">
        <v>0</v>
      </c>
      <c r="J16" s="299">
        <v>0</v>
      </c>
      <c r="K16" s="299">
        <v>0</v>
      </c>
      <c r="L16" s="301">
        <v>12.5</v>
      </c>
      <c r="M16" s="301">
        <v>9</v>
      </c>
      <c r="N16" s="301">
        <v>123</v>
      </c>
      <c r="O16" s="301">
        <v>121</v>
      </c>
      <c r="P16" s="302">
        <v>121</v>
      </c>
      <c r="Q16" s="303">
        <v>386.5</v>
      </c>
    </row>
    <row r="17" spans="1:17" ht="15" customHeight="1">
      <c r="A17" s="352" t="s">
        <v>176</v>
      </c>
      <c r="B17" s="116" t="s">
        <v>174</v>
      </c>
      <c r="C17" s="377">
        <v>10</v>
      </c>
      <c r="D17" s="380" t="s">
        <v>167</v>
      </c>
      <c r="E17" s="304">
        <v>8</v>
      </c>
      <c r="F17" s="299">
        <v>0</v>
      </c>
      <c r="G17" s="299">
        <v>0</v>
      </c>
      <c r="H17" s="299">
        <v>0</v>
      </c>
      <c r="I17" s="299">
        <v>0</v>
      </c>
      <c r="J17" s="299">
        <v>0</v>
      </c>
      <c r="K17" s="299">
        <v>0</v>
      </c>
      <c r="L17" s="301">
        <v>14</v>
      </c>
      <c r="M17" s="301">
        <v>18.6</v>
      </c>
      <c r="N17" s="301">
        <v>34.6</v>
      </c>
      <c r="O17" s="301">
        <v>25.6</v>
      </c>
      <c r="P17" s="302">
        <v>35</v>
      </c>
      <c r="Q17" s="303">
        <f t="shared" si="0"/>
        <v>135.8</v>
      </c>
    </row>
    <row r="18" spans="1:17" ht="15" customHeight="1">
      <c r="A18" s="352" t="s">
        <v>177</v>
      </c>
      <c r="B18" s="116" t="s">
        <v>115</v>
      </c>
      <c r="C18" s="377">
        <v>10</v>
      </c>
      <c r="D18" s="380" t="s">
        <v>167</v>
      </c>
      <c r="E18" s="304">
        <v>227.4</v>
      </c>
      <c r="F18" s="301">
        <v>215.7</v>
      </c>
      <c r="G18" s="301">
        <v>260.1</v>
      </c>
      <c r="H18" s="301">
        <v>319.7</v>
      </c>
      <c r="I18" s="301">
        <v>344.2</v>
      </c>
      <c r="J18" s="301">
        <v>20</v>
      </c>
      <c r="K18" s="299">
        <v>0</v>
      </c>
      <c r="L18" s="299">
        <v>0</v>
      </c>
      <c r="M18" s="301">
        <v>30.7</v>
      </c>
      <c r="N18" s="301">
        <v>47.2</v>
      </c>
      <c r="O18" s="301">
        <v>24.8</v>
      </c>
      <c r="P18" s="302">
        <v>230.6</v>
      </c>
      <c r="Q18" s="303">
        <f t="shared" si="0"/>
        <v>1720.4</v>
      </c>
    </row>
    <row r="19" spans="1:17" ht="15" customHeight="1">
      <c r="A19" s="352" t="s">
        <v>178</v>
      </c>
      <c r="B19" s="116" t="s">
        <v>169</v>
      </c>
      <c r="C19" s="377">
        <v>10</v>
      </c>
      <c r="D19" s="380" t="s">
        <v>170</v>
      </c>
      <c r="E19" s="304">
        <v>56.3</v>
      </c>
      <c r="F19" s="301">
        <v>38.7</v>
      </c>
      <c r="G19" s="301">
        <v>38.4</v>
      </c>
      <c r="H19" s="299">
        <v>0</v>
      </c>
      <c r="I19" s="299">
        <v>0</v>
      </c>
      <c r="J19" s="299">
        <v>0</v>
      </c>
      <c r="K19" s="299">
        <v>0</v>
      </c>
      <c r="L19" s="299">
        <v>0</v>
      </c>
      <c r="M19" s="299">
        <v>0</v>
      </c>
      <c r="N19" s="301">
        <v>6</v>
      </c>
      <c r="O19" s="301">
        <v>99.2</v>
      </c>
      <c r="P19" s="302">
        <v>54.9</v>
      </c>
      <c r="Q19" s="303">
        <f t="shared" si="0"/>
        <v>293.5</v>
      </c>
    </row>
    <row r="20" spans="1:17" ht="15" customHeight="1">
      <c r="A20" s="352" t="s">
        <v>179</v>
      </c>
      <c r="B20" s="116" t="s">
        <v>115</v>
      </c>
      <c r="C20" s="377">
        <v>10</v>
      </c>
      <c r="D20" s="379" t="s">
        <v>167</v>
      </c>
      <c r="E20" s="298">
        <v>59.4</v>
      </c>
      <c r="F20" s="299">
        <v>43.9</v>
      </c>
      <c r="G20" s="299">
        <v>0</v>
      </c>
      <c r="H20" s="299">
        <v>0</v>
      </c>
      <c r="I20" s="299">
        <v>0</v>
      </c>
      <c r="J20" s="299">
        <v>1</v>
      </c>
      <c r="K20" s="299">
        <v>0</v>
      </c>
      <c r="L20" s="299">
        <v>5.5</v>
      </c>
      <c r="M20" s="299">
        <v>0</v>
      </c>
      <c r="N20" s="299">
        <v>13.5</v>
      </c>
      <c r="O20" s="299">
        <v>123</v>
      </c>
      <c r="P20" s="300">
        <v>73.5</v>
      </c>
      <c r="Q20" s="297">
        <f t="shared" si="0"/>
        <v>319.8</v>
      </c>
    </row>
    <row r="21" spans="1:17" ht="14.25">
      <c r="A21" s="352" t="s">
        <v>180</v>
      </c>
      <c r="B21" s="116" t="s">
        <v>115</v>
      </c>
      <c r="C21" s="377">
        <v>10</v>
      </c>
      <c r="D21" s="379" t="s">
        <v>167</v>
      </c>
      <c r="E21" s="298">
        <v>7</v>
      </c>
      <c r="F21" s="299">
        <v>93.9</v>
      </c>
      <c r="G21" s="299">
        <v>79.5</v>
      </c>
      <c r="H21" s="299">
        <v>79.3</v>
      </c>
      <c r="I21" s="299">
        <v>78.8</v>
      </c>
      <c r="J21" s="299">
        <v>17</v>
      </c>
      <c r="K21" s="299">
        <v>0</v>
      </c>
      <c r="L21" s="299">
        <v>1</v>
      </c>
      <c r="M21" s="299">
        <v>0.5</v>
      </c>
      <c r="N21" s="299">
        <v>0</v>
      </c>
      <c r="O21" s="299">
        <v>0</v>
      </c>
      <c r="P21" s="300">
        <v>0</v>
      </c>
      <c r="Q21" s="297">
        <f t="shared" si="0"/>
        <v>357</v>
      </c>
    </row>
    <row r="22" spans="1:17" ht="14.25">
      <c r="A22" s="352" t="s">
        <v>181</v>
      </c>
      <c r="B22" s="116" t="s">
        <v>166</v>
      </c>
      <c r="C22" s="377">
        <v>10</v>
      </c>
      <c r="D22" s="379" t="s">
        <v>167</v>
      </c>
      <c r="E22" s="298">
        <v>5</v>
      </c>
      <c r="F22" s="299">
        <v>17</v>
      </c>
      <c r="G22" s="299">
        <v>2</v>
      </c>
      <c r="H22" s="299">
        <v>0</v>
      </c>
      <c r="I22" s="299">
        <v>4</v>
      </c>
      <c r="J22" s="299">
        <v>1</v>
      </c>
      <c r="K22" s="299">
        <v>0</v>
      </c>
      <c r="L22" s="299">
        <v>0</v>
      </c>
      <c r="M22" s="299">
        <v>0</v>
      </c>
      <c r="N22" s="299">
        <v>15</v>
      </c>
      <c r="O22" s="299">
        <v>9</v>
      </c>
      <c r="P22" s="300">
        <v>13</v>
      </c>
      <c r="Q22" s="297">
        <f t="shared" si="0"/>
        <v>66</v>
      </c>
    </row>
    <row r="23" spans="1:17" ht="14.25">
      <c r="A23" s="352" t="s">
        <v>182</v>
      </c>
      <c r="B23" s="116" t="s">
        <v>169</v>
      </c>
      <c r="C23" s="377">
        <v>10</v>
      </c>
      <c r="D23" s="379" t="s">
        <v>170</v>
      </c>
      <c r="E23" s="298">
        <v>25.1</v>
      </c>
      <c r="F23" s="299">
        <v>18.1</v>
      </c>
      <c r="G23" s="299">
        <v>28.6</v>
      </c>
      <c r="H23" s="299">
        <v>30.6</v>
      </c>
      <c r="I23" s="299">
        <v>22.1</v>
      </c>
      <c r="J23" s="299">
        <v>5.6</v>
      </c>
      <c r="K23" s="299">
        <v>0</v>
      </c>
      <c r="L23" s="299">
        <v>0</v>
      </c>
      <c r="M23" s="299">
        <v>45.2</v>
      </c>
      <c r="N23" s="299">
        <v>27.1</v>
      </c>
      <c r="O23" s="299">
        <v>14.6</v>
      </c>
      <c r="P23" s="300">
        <v>30.6</v>
      </c>
      <c r="Q23" s="297">
        <f t="shared" si="0"/>
        <v>247.6</v>
      </c>
    </row>
    <row r="24" spans="1:17" ht="14.25">
      <c r="A24" s="352" t="s">
        <v>183</v>
      </c>
      <c r="B24" s="116" t="s">
        <v>184</v>
      </c>
      <c r="C24" s="377">
        <v>10</v>
      </c>
      <c r="D24" s="379" t="s">
        <v>170</v>
      </c>
      <c r="E24" s="298">
        <v>129.3</v>
      </c>
      <c r="F24" s="299">
        <v>177.3</v>
      </c>
      <c r="G24" s="299">
        <v>174.3</v>
      </c>
      <c r="H24" s="299">
        <v>132.3</v>
      </c>
      <c r="I24" s="299">
        <v>129.3</v>
      </c>
      <c r="J24" s="299">
        <v>112.9</v>
      </c>
      <c r="K24" s="299">
        <v>48</v>
      </c>
      <c r="L24" s="299">
        <v>57.2</v>
      </c>
      <c r="M24" s="299">
        <v>29.5</v>
      </c>
      <c r="N24" s="299">
        <v>78</v>
      </c>
      <c r="O24" s="299">
        <v>129.3</v>
      </c>
      <c r="P24" s="300">
        <v>114.3</v>
      </c>
      <c r="Q24" s="297">
        <f t="shared" si="0"/>
        <v>1311.6999999999998</v>
      </c>
    </row>
    <row r="25" spans="1:17" ht="14.25">
      <c r="A25" s="352" t="s">
        <v>185</v>
      </c>
      <c r="B25" s="116" t="s">
        <v>163</v>
      </c>
      <c r="C25" s="377">
        <v>10</v>
      </c>
      <c r="D25" s="380" t="s">
        <v>164</v>
      </c>
      <c r="E25" s="304">
        <v>129</v>
      </c>
      <c r="F25" s="301">
        <v>105.9</v>
      </c>
      <c r="G25" s="301">
        <v>128.9</v>
      </c>
      <c r="H25" s="301">
        <v>119.1</v>
      </c>
      <c r="I25" s="301">
        <v>59</v>
      </c>
      <c r="J25" s="301">
        <v>16</v>
      </c>
      <c r="K25" s="299">
        <v>0</v>
      </c>
      <c r="L25" s="299">
        <v>0</v>
      </c>
      <c r="M25" s="301">
        <v>26</v>
      </c>
      <c r="N25" s="301">
        <v>70.5</v>
      </c>
      <c r="O25" s="301">
        <v>36</v>
      </c>
      <c r="P25" s="302">
        <v>55</v>
      </c>
      <c r="Q25" s="303">
        <f t="shared" si="0"/>
        <v>745.4</v>
      </c>
    </row>
    <row r="26" spans="1:17" ht="14.25">
      <c r="A26" s="352" t="s">
        <v>186</v>
      </c>
      <c r="B26" s="116" t="s">
        <v>187</v>
      </c>
      <c r="C26" s="377">
        <v>10</v>
      </c>
      <c r="D26" s="380" t="s">
        <v>167</v>
      </c>
      <c r="E26" s="298">
        <v>0</v>
      </c>
      <c r="F26" s="301">
        <v>12</v>
      </c>
      <c r="G26" s="301">
        <v>26</v>
      </c>
      <c r="H26" s="301">
        <v>39</v>
      </c>
      <c r="I26" s="301">
        <v>77.5</v>
      </c>
      <c r="J26" s="301">
        <v>77.5</v>
      </c>
      <c r="K26" s="301">
        <v>58</v>
      </c>
      <c r="L26" s="301">
        <v>36</v>
      </c>
      <c r="M26" s="301">
        <v>8</v>
      </c>
      <c r="N26" s="299">
        <v>0</v>
      </c>
      <c r="O26" s="299">
        <v>0</v>
      </c>
      <c r="P26" s="300">
        <v>0</v>
      </c>
      <c r="Q26" s="303">
        <f t="shared" si="0"/>
        <v>334</v>
      </c>
    </row>
    <row r="27" spans="1:17" ht="14.25">
      <c r="A27" s="352" t="s">
        <v>188</v>
      </c>
      <c r="B27" s="116" t="s">
        <v>189</v>
      </c>
      <c r="C27" s="377">
        <v>10</v>
      </c>
      <c r="D27" s="380" t="s">
        <v>167</v>
      </c>
      <c r="E27" s="304">
        <f>5.9</f>
        <v>5.9</v>
      </c>
      <c r="F27" s="301">
        <f>5.9</f>
        <v>5.9</v>
      </c>
      <c r="G27" s="301">
        <f>7.9</f>
        <v>7.9</v>
      </c>
      <c r="H27" s="301">
        <f>10.9</f>
        <v>10.9</v>
      </c>
      <c r="I27" s="301">
        <f>27.9</f>
        <v>27.9</v>
      </c>
      <c r="J27" s="301">
        <f>24.9</f>
        <v>24.9</v>
      </c>
      <c r="K27" s="301">
        <f>26.9</f>
        <v>26.9</v>
      </c>
      <c r="L27" s="301">
        <f>38.4</f>
        <v>38.4</v>
      </c>
      <c r="M27" s="301">
        <f>28.9</f>
        <v>28.9</v>
      </c>
      <c r="N27" s="301">
        <f>15.4</f>
        <v>15.4</v>
      </c>
      <c r="O27" s="301">
        <f>8.9</f>
        <v>8.9</v>
      </c>
      <c r="P27" s="302">
        <f>5.9</f>
        <v>5.9</v>
      </c>
      <c r="Q27" s="303">
        <f t="shared" si="0"/>
        <v>207.80000000000004</v>
      </c>
    </row>
    <row r="28" spans="1:17" ht="14.25">
      <c r="A28" s="352" t="s">
        <v>190</v>
      </c>
      <c r="B28" s="116" t="s">
        <v>191</v>
      </c>
      <c r="C28" s="377">
        <v>10</v>
      </c>
      <c r="D28" s="380" t="s">
        <v>167</v>
      </c>
      <c r="E28" s="304">
        <v>181.7</v>
      </c>
      <c r="F28" s="301">
        <v>161.3</v>
      </c>
      <c r="G28" s="301">
        <v>102.79</v>
      </c>
      <c r="H28" s="301">
        <v>108</v>
      </c>
      <c r="I28" s="301">
        <v>135.9</v>
      </c>
      <c r="J28" s="301">
        <v>62</v>
      </c>
      <c r="K28" s="301">
        <v>9</v>
      </c>
      <c r="L28" s="301">
        <v>88.5</v>
      </c>
      <c r="M28" s="301">
        <v>109.5</v>
      </c>
      <c r="N28" s="301">
        <v>104.5</v>
      </c>
      <c r="O28" s="301">
        <v>112.2</v>
      </c>
      <c r="P28" s="302">
        <v>146.7</v>
      </c>
      <c r="Q28" s="303">
        <f t="shared" si="0"/>
        <v>1322.0900000000001</v>
      </c>
    </row>
    <row r="29" spans="1:17" ht="14.25">
      <c r="A29" s="352" t="s">
        <v>192</v>
      </c>
      <c r="B29" s="116" t="s">
        <v>193</v>
      </c>
      <c r="C29" s="377">
        <v>10</v>
      </c>
      <c r="D29" s="379" t="s">
        <v>170</v>
      </c>
      <c r="E29" s="298">
        <v>33</v>
      </c>
      <c r="F29" s="299">
        <v>34.8</v>
      </c>
      <c r="G29" s="299">
        <v>44.7</v>
      </c>
      <c r="H29" s="299">
        <v>34.2</v>
      </c>
      <c r="I29" s="299">
        <v>37</v>
      </c>
      <c r="J29" s="299">
        <v>16.4</v>
      </c>
      <c r="K29" s="299">
        <v>0</v>
      </c>
      <c r="L29" s="299">
        <v>0</v>
      </c>
      <c r="M29" s="299">
        <v>13.9</v>
      </c>
      <c r="N29" s="299">
        <v>35.75</v>
      </c>
      <c r="O29" s="299">
        <v>12.3</v>
      </c>
      <c r="P29" s="300">
        <v>21.2</v>
      </c>
      <c r="Q29" s="297">
        <f t="shared" si="0"/>
        <v>283.25</v>
      </c>
    </row>
    <row r="30" spans="1:17" ht="14.25">
      <c r="A30" s="352" t="s">
        <v>194</v>
      </c>
      <c r="B30" s="116" t="s">
        <v>184</v>
      </c>
      <c r="C30" s="377">
        <v>10</v>
      </c>
      <c r="D30" s="379" t="s">
        <v>170</v>
      </c>
      <c r="E30" s="298">
        <v>28.4</v>
      </c>
      <c r="F30" s="299">
        <v>26.8</v>
      </c>
      <c r="G30" s="299">
        <v>35.6</v>
      </c>
      <c r="H30" s="299">
        <v>23.6</v>
      </c>
      <c r="I30" s="299">
        <v>28.5</v>
      </c>
      <c r="J30" s="299">
        <v>32.3</v>
      </c>
      <c r="K30" s="299">
        <v>36</v>
      </c>
      <c r="L30" s="299">
        <v>28.3</v>
      </c>
      <c r="M30" s="299">
        <v>24</v>
      </c>
      <c r="N30" s="299">
        <v>15.2</v>
      </c>
      <c r="O30" s="299">
        <v>8.8</v>
      </c>
      <c r="P30" s="300">
        <v>32.5</v>
      </c>
      <c r="Q30" s="297">
        <f t="shared" si="0"/>
        <v>320</v>
      </c>
    </row>
    <row r="31" spans="1:17" ht="14.25">
      <c r="A31" s="352" t="s">
        <v>195</v>
      </c>
      <c r="B31" s="116" t="s">
        <v>166</v>
      </c>
      <c r="C31" s="377">
        <v>10</v>
      </c>
      <c r="D31" s="379" t="s">
        <v>167</v>
      </c>
      <c r="E31" s="298">
        <v>152.5</v>
      </c>
      <c r="F31" s="299">
        <v>152</v>
      </c>
      <c r="G31" s="299">
        <v>221.5</v>
      </c>
      <c r="H31" s="299">
        <v>348</v>
      </c>
      <c r="I31" s="299">
        <v>281.5</v>
      </c>
      <c r="J31" s="299">
        <v>226</v>
      </c>
      <c r="K31" s="299">
        <v>8</v>
      </c>
      <c r="L31" s="299">
        <v>0</v>
      </c>
      <c r="M31" s="299">
        <v>28.5</v>
      </c>
      <c r="N31" s="299">
        <v>23</v>
      </c>
      <c r="O31" s="299">
        <v>51</v>
      </c>
      <c r="P31" s="300">
        <v>63.5</v>
      </c>
      <c r="Q31" s="297">
        <f t="shared" si="0"/>
        <v>1555.5</v>
      </c>
    </row>
    <row r="32" spans="1:17" ht="14.25">
      <c r="A32" s="352" t="s">
        <v>197</v>
      </c>
      <c r="B32" s="116" t="s">
        <v>169</v>
      </c>
      <c r="C32" s="377">
        <v>10</v>
      </c>
      <c r="D32" s="379" t="s">
        <v>170</v>
      </c>
      <c r="E32" s="298">
        <v>0</v>
      </c>
      <c r="F32" s="299">
        <v>0</v>
      </c>
      <c r="G32" s="299">
        <v>0</v>
      </c>
      <c r="H32" s="299">
        <v>0</v>
      </c>
      <c r="I32" s="299">
        <v>0</v>
      </c>
      <c r="J32" s="299">
        <v>0</v>
      </c>
      <c r="K32" s="299">
        <v>0</v>
      </c>
      <c r="L32" s="299">
        <v>11.7</v>
      </c>
      <c r="M32" s="299">
        <v>18.3</v>
      </c>
      <c r="N32" s="299">
        <v>78.2</v>
      </c>
      <c r="O32" s="299">
        <v>36</v>
      </c>
      <c r="P32" s="300">
        <v>18</v>
      </c>
      <c r="Q32" s="297">
        <f t="shared" si="0"/>
        <v>162.2</v>
      </c>
    </row>
    <row r="33" spans="1:17" ht="14.25">
      <c r="A33" s="352" t="s">
        <v>198</v>
      </c>
      <c r="B33" s="116" t="s">
        <v>169</v>
      </c>
      <c r="C33" s="377">
        <v>10</v>
      </c>
      <c r="D33" s="380" t="s">
        <v>170</v>
      </c>
      <c r="E33" s="304">
        <v>1.5</v>
      </c>
      <c r="F33" s="301">
        <v>33.26</v>
      </c>
      <c r="G33" s="301">
        <v>32.74</v>
      </c>
      <c r="H33" s="299">
        <v>0</v>
      </c>
      <c r="I33" s="299">
        <v>0</v>
      </c>
      <c r="J33" s="299">
        <v>0</v>
      </c>
      <c r="K33" s="299">
        <v>0</v>
      </c>
      <c r="L33" s="301">
        <v>7.25</v>
      </c>
      <c r="M33" s="301">
        <v>24.45</v>
      </c>
      <c r="N33" s="301">
        <v>8.1</v>
      </c>
      <c r="O33" s="301">
        <v>5.2</v>
      </c>
      <c r="P33" s="300">
        <v>0</v>
      </c>
      <c r="Q33" s="303">
        <f t="shared" si="0"/>
        <v>112.5</v>
      </c>
    </row>
    <row r="34" spans="1:18" ht="14.25">
      <c r="A34" s="352" t="s">
        <v>198</v>
      </c>
      <c r="B34" s="116" t="s">
        <v>334</v>
      </c>
      <c r="C34" s="377">
        <v>10</v>
      </c>
      <c r="D34" s="380" t="s">
        <v>1</v>
      </c>
      <c r="E34" s="286">
        <v>0</v>
      </c>
      <c r="F34" s="96">
        <v>0</v>
      </c>
      <c r="G34" s="96">
        <v>2</v>
      </c>
      <c r="H34" s="96">
        <v>8</v>
      </c>
      <c r="I34" s="96">
        <v>8</v>
      </c>
      <c r="J34" s="96">
        <v>26.3</v>
      </c>
      <c r="K34" s="96">
        <v>2.5</v>
      </c>
      <c r="L34" s="96">
        <v>1</v>
      </c>
      <c r="M34" s="96">
        <v>2.3</v>
      </c>
      <c r="N34" s="96">
        <v>0</v>
      </c>
      <c r="O34" s="96">
        <v>58.25</v>
      </c>
      <c r="P34" s="287">
        <v>0</v>
      </c>
      <c r="Q34" s="303">
        <f>SUM(E34:P34)</f>
        <v>108.35</v>
      </c>
      <c r="R34" s="20" t="s">
        <v>332</v>
      </c>
    </row>
    <row r="35" spans="1:17" ht="21">
      <c r="A35" s="352" t="s">
        <v>199</v>
      </c>
      <c r="B35" s="117" t="s">
        <v>200</v>
      </c>
      <c r="C35" s="377">
        <v>10</v>
      </c>
      <c r="D35" s="380" t="s">
        <v>201</v>
      </c>
      <c r="E35" s="298">
        <v>0</v>
      </c>
      <c r="F35" s="299">
        <v>0</v>
      </c>
      <c r="G35" s="299">
        <v>0</v>
      </c>
      <c r="H35" s="301">
        <v>133.7</v>
      </c>
      <c r="I35" s="299">
        <v>0</v>
      </c>
      <c r="J35" s="299">
        <v>0</v>
      </c>
      <c r="K35" s="301">
        <v>2</v>
      </c>
      <c r="L35" s="299">
        <v>0</v>
      </c>
      <c r="M35" s="301">
        <v>26</v>
      </c>
      <c r="N35" s="301">
        <v>21</v>
      </c>
      <c r="O35" s="301">
        <v>7</v>
      </c>
      <c r="P35" s="302">
        <v>4</v>
      </c>
      <c r="Q35" s="303">
        <f t="shared" si="0"/>
        <v>193.7</v>
      </c>
    </row>
    <row r="36" spans="1:17" ht="15.75" customHeight="1">
      <c r="A36" s="352" t="s">
        <v>202</v>
      </c>
      <c r="B36" s="374" t="s">
        <v>203</v>
      </c>
      <c r="C36" s="377">
        <v>10</v>
      </c>
      <c r="D36" s="380" t="s">
        <v>170</v>
      </c>
      <c r="E36" s="304">
        <v>2.4</v>
      </c>
      <c r="F36" s="301">
        <v>165.2</v>
      </c>
      <c r="G36" s="301">
        <v>109.2</v>
      </c>
      <c r="H36" s="299">
        <v>0</v>
      </c>
      <c r="I36" s="299">
        <v>0</v>
      </c>
      <c r="J36" s="299">
        <v>0</v>
      </c>
      <c r="K36" s="299">
        <v>0</v>
      </c>
      <c r="L36" s="299">
        <v>0</v>
      </c>
      <c r="M36" s="301">
        <v>2</v>
      </c>
      <c r="N36" s="301">
        <v>47.2</v>
      </c>
      <c r="O36" s="301">
        <v>8.4</v>
      </c>
      <c r="P36" s="302">
        <v>2.2</v>
      </c>
      <c r="Q36" s="303">
        <f t="shared" si="0"/>
        <v>336.59999999999997</v>
      </c>
    </row>
    <row r="37" spans="1:17" ht="14.25">
      <c r="A37" s="352" t="s">
        <v>199</v>
      </c>
      <c r="B37" s="116" t="s">
        <v>115</v>
      </c>
      <c r="C37" s="377">
        <v>10</v>
      </c>
      <c r="D37" s="380" t="s">
        <v>167</v>
      </c>
      <c r="E37" s="298">
        <v>0</v>
      </c>
      <c r="F37" s="299">
        <v>0</v>
      </c>
      <c r="G37" s="299">
        <v>0</v>
      </c>
      <c r="H37" s="301">
        <v>133.7</v>
      </c>
      <c r="I37" s="299">
        <v>0</v>
      </c>
      <c r="J37" s="299">
        <v>0</v>
      </c>
      <c r="K37" s="301">
        <v>5</v>
      </c>
      <c r="L37" s="299">
        <v>0</v>
      </c>
      <c r="M37" s="301">
        <v>26</v>
      </c>
      <c r="N37" s="301">
        <v>20</v>
      </c>
      <c r="O37" s="301">
        <v>7</v>
      </c>
      <c r="P37" s="302">
        <v>3</v>
      </c>
      <c r="Q37" s="303">
        <f t="shared" si="0"/>
        <v>194.7</v>
      </c>
    </row>
    <row r="38" spans="1:17" ht="14.25">
      <c r="A38" s="352" t="s">
        <v>204</v>
      </c>
      <c r="B38" s="116" t="s">
        <v>163</v>
      </c>
      <c r="C38" s="377">
        <v>10</v>
      </c>
      <c r="D38" s="379" t="s">
        <v>164</v>
      </c>
      <c r="E38" s="298">
        <v>18</v>
      </c>
      <c r="F38" s="299">
        <v>132</v>
      </c>
      <c r="G38" s="299">
        <v>0</v>
      </c>
      <c r="H38" s="299">
        <v>0</v>
      </c>
      <c r="I38" s="299">
        <v>0</v>
      </c>
      <c r="J38" s="299">
        <v>0</v>
      </c>
      <c r="K38" s="299">
        <v>0</v>
      </c>
      <c r="L38" s="299">
        <v>0</v>
      </c>
      <c r="M38" s="299">
        <v>0</v>
      </c>
      <c r="N38" s="299">
        <v>0</v>
      </c>
      <c r="O38" s="299">
        <v>16</v>
      </c>
      <c r="P38" s="300">
        <v>46</v>
      </c>
      <c r="Q38" s="297">
        <f t="shared" si="0"/>
        <v>212</v>
      </c>
    </row>
    <row r="39" spans="1:17" ht="14.25">
      <c r="A39" s="352" t="s">
        <v>205</v>
      </c>
      <c r="B39" s="116" t="s">
        <v>206</v>
      </c>
      <c r="C39" s="377">
        <v>10</v>
      </c>
      <c r="D39" s="379" t="s">
        <v>167</v>
      </c>
      <c r="E39" s="298">
        <v>0</v>
      </c>
      <c r="F39" s="299">
        <v>16</v>
      </c>
      <c r="G39" s="299">
        <v>16</v>
      </c>
      <c r="H39" s="299">
        <v>16</v>
      </c>
      <c r="I39" s="299">
        <v>24.3</v>
      </c>
      <c r="J39" s="299">
        <v>7.3</v>
      </c>
      <c r="K39" s="299">
        <v>8.3</v>
      </c>
      <c r="L39" s="299">
        <v>7</v>
      </c>
      <c r="M39" s="299">
        <v>6</v>
      </c>
      <c r="N39" s="299">
        <v>6</v>
      </c>
      <c r="O39" s="299">
        <v>14</v>
      </c>
      <c r="P39" s="300">
        <v>142.5</v>
      </c>
      <c r="Q39" s="297">
        <f t="shared" si="0"/>
        <v>263.4</v>
      </c>
    </row>
    <row r="40" spans="1:17" ht="14.25">
      <c r="A40" s="352" t="s">
        <v>207</v>
      </c>
      <c r="B40" s="116" t="s">
        <v>208</v>
      </c>
      <c r="C40" s="377">
        <v>10</v>
      </c>
      <c r="D40" s="379" t="s">
        <v>170</v>
      </c>
      <c r="E40" s="298">
        <v>0</v>
      </c>
      <c r="F40" s="299">
        <v>182</v>
      </c>
      <c r="G40" s="299">
        <v>0</v>
      </c>
      <c r="H40" s="299">
        <v>0</v>
      </c>
      <c r="I40" s="299">
        <v>1.5</v>
      </c>
      <c r="J40" s="299">
        <v>0</v>
      </c>
      <c r="K40" s="299">
        <v>0</v>
      </c>
      <c r="L40" s="299">
        <v>2</v>
      </c>
      <c r="M40" s="299">
        <v>5</v>
      </c>
      <c r="N40" s="299">
        <v>12</v>
      </c>
      <c r="O40" s="299">
        <v>65</v>
      </c>
      <c r="P40" s="300">
        <v>1</v>
      </c>
      <c r="Q40" s="297">
        <f aca="true" t="shared" si="1" ref="Q40:Q71">SUM(E40:P40)</f>
        <v>268.5</v>
      </c>
    </row>
    <row r="41" spans="1:17" ht="14.25">
      <c r="A41" s="352" t="s">
        <v>209</v>
      </c>
      <c r="B41" s="116" t="s">
        <v>115</v>
      </c>
      <c r="C41" s="377">
        <v>10</v>
      </c>
      <c r="D41" s="379" t="s">
        <v>167</v>
      </c>
      <c r="E41" s="298">
        <v>0</v>
      </c>
      <c r="F41" s="299">
        <v>110</v>
      </c>
      <c r="G41" s="299">
        <v>0</v>
      </c>
      <c r="H41" s="299">
        <v>0</v>
      </c>
      <c r="I41" s="299">
        <v>0</v>
      </c>
      <c r="J41" s="299">
        <v>0</v>
      </c>
      <c r="K41" s="299">
        <v>2</v>
      </c>
      <c r="L41" s="299">
        <v>0</v>
      </c>
      <c r="M41" s="299">
        <v>5.5</v>
      </c>
      <c r="N41" s="299">
        <v>12</v>
      </c>
      <c r="O41" s="299">
        <v>65</v>
      </c>
      <c r="P41" s="300">
        <v>1</v>
      </c>
      <c r="Q41" s="297">
        <f t="shared" si="1"/>
        <v>195.5</v>
      </c>
    </row>
    <row r="42" spans="1:17" ht="14.25">
      <c r="A42" s="352" t="s">
        <v>210</v>
      </c>
      <c r="B42" s="116" t="s">
        <v>211</v>
      </c>
      <c r="C42" s="377">
        <v>10</v>
      </c>
      <c r="D42" s="379" t="s">
        <v>196</v>
      </c>
      <c r="E42" s="298">
        <v>0</v>
      </c>
      <c r="F42" s="299">
        <v>0</v>
      </c>
      <c r="G42" s="299">
        <v>0</v>
      </c>
      <c r="H42" s="299">
        <v>0</v>
      </c>
      <c r="I42" s="299">
        <v>0</v>
      </c>
      <c r="J42" s="299">
        <v>0</v>
      </c>
      <c r="K42" s="299">
        <v>3</v>
      </c>
      <c r="L42" s="299">
        <v>28</v>
      </c>
      <c r="M42" s="299">
        <v>35</v>
      </c>
      <c r="N42" s="299">
        <v>33</v>
      </c>
      <c r="O42" s="299">
        <v>0</v>
      </c>
      <c r="P42" s="300">
        <v>184</v>
      </c>
      <c r="Q42" s="297">
        <f t="shared" si="1"/>
        <v>283</v>
      </c>
    </row>
    <row r="43" spans="1:17" ht="14.25">
      <c r="A43" s="352" t="s">
        <v>212</v>
      </c>
      <c r="B43" s="116" t="s">
        <v>213</v>
      </c>
      <c r="C43" s="377">
        <v>10</v>
      </c>
      <c r="D43" s="379" t="s">
        <v>214</v>
      </c>
      <c r="E43" s="298">
        <v>0</v>
      </c>
      <c r="F43" s="299">
        <v>25</v>
      </c>
      <c r="G43" s="299">
        <v>0</v>
      </c>
      <c r="H43" s="299">
        <v>0.5</v>
      </c>
      <c r="I43" s="299">
        <v>1</v>
      </c>
      <c r="J43" s="299">
        <v>0</v>
      </c>
      <c r="K43" s="299">
        <v>1</v>
      </c>
      <c r="L43" s="299">
        <v>0</v>
      </c>
      <c r="M43" s="299">
        <v>0</v>
      </c>
      <c r="N43" s="299">
        <v>0</v>
      </c>
      <c r="O43" s="299">
        <v>8.6</v>
      </c>
      <c r="P43" s="300">
        <v>0</v>
      </c>
      <c r="Q43" s="297">
        <f t="shared" si="1"/>
        <v>36.1</v>
      </c>
    </row>
    <row r="44" spans="1:17" ht="14.25">
      <c r="A44" s="352" t="s">
        <v>215</v>
      </c>
      <c r="B44" s="116" t="s">
        <v>216</v>
      </c>
      <c r="C44" s="377">
        <v>10</v>
      </c>
      <c r="D44" s="380" t="s">
        <v>214</v>
      </c>
      <c r="E44" s="304">
        <v>23.8</v>
      </c>
      <c r="F44" s="301">
        <v>26</v>
      </c>
      <c r="G44" s="301">
        <v>27.5</v>
      </c>
      <c r="H44" s="301">
        <v>51</v>
      </c>
      <c r="I44" s="301">
        <v>56.4</v>
      </c>
      <c r="J44" s="301">
        <v>49.6</v>
      </c>
      <c r="K44" s="301">
        <v>56.6</v>
      </c>
      <c r="L44" s="301">
        <v>36.7</v>
      </c>
      <c r="M44" s="301">
        <v>56.6</v>
      </c>
      <c r="N44" s="301">
        <v>70.9</v>
      </c>
      <c r="O44" s="301">
        <v>66</v>
      </c>
      <c r="P44" s="302">
        <v>25.8</v>
      </c>
      <c r="Q44" s="303">
        <f t="shared" si="1"/>
        <v>546.9</v>
      </c>
    </row>
    <row r="45" spans="1:17" ht="14.25">
      <c r="A45" s="352" t="s">
        <v>217</v>
      </c>
      <c r="B45" s="116" t="s">
        <v>216</v>
      </c>
      <c r="C45" s="377">
        <v>10</v>
      </c>
      <c r="D45" s="380" t="s">
        <v>214</v>
      </c>
      <c r="E45" s="304">
        <v>15.7</v>
      </c>
      <c r="F45" s="301">
        <v>175.7</v>
      </c>
      <c r="G45" s="301">
        <v>175.7</v>
      </c>
      <c r="H45" s="301">
        <v>16.6</v>
      </c>
      <c r="I45" s="301">
        <v>28.3</v>
      </c>
      <c r="J45" s="301">
        <v>28.3</v>
      </c>
      <c r="K45" s="301">
        <v>58.6</v>
      </c>
      <c r="L45" s="301">
        <v>58.67</v>
      </c>
      <c r="M45" s="301">
        <v>63.7</v>
      </c>
      <c r="N45" s="301">
        <v>63.4</v>
      </c>
      <c r="O45" s="301">
        <v>16.6</v>
      </c>
      <c r="P45" s="302">
        <v>16.6</v>
      </c>
      <c r="Q45" s="303">
        <f t="shared" si="1"/>
        <v>717.8700000000001</v>
      </c>
    </row>
    <row r="46" spans="1:17" ht="14.25">
      <c r="A46" s="352" t="s">
        <v>218</v>
      </c>
      <c r="B46" s="116" t="s">
        <v>219</v>
      </c>
      <c r="C46" s="377">
        <v>10</v>
      </c>
      <c r="D46" s="380" t="s">
        <v>167</v>
      </c>
      <c r="E46" s="304">
        <v>128.5</v>
      </c>
      <c r="F46" s="301">
        <v>36.5</v>
      </c>
      <c r="G46" s="301">
        <v>21.5</v>
      </c>
      <c r="H46" s="301">
        <v>145</v>
      </c>
      <c r="I46" s="301">
        <v>18.1</v>
      </c>
      <c r="J46" s="301">
        <v>20</v>
      </c>
      <c r="K46" s="301">
        <v>6.5</v>
      </c>
      <c r="L46" s="301">
        <v>69</v>
      </c>
      <c r="M46" s="301">
        <v>39</v>
      </c>
      <c r="N46" s="301">
        <v>29.5</v>
      </c>
      <c r="O46" s="301">
        <v>21.5</v>
      </c>
      <c r="P46" s="302">
        <v>38.5</v>
      </c>
      <c r="Q46" s="303">
        <f t="shared" si="1"/>
        <v>573.6</v>
      </c>
    </row>
    <row r="47" spans="1:17" ht="14.25">
      <c r="A47" s="352" t="s">
        <v>220</v>
      </c>
      <c r="B47" s="116" t="s">
        <v>221</v>
      </c>
      <c r="C47" s="377">
        <v>10</v>
      </c>
      <c r="D47" s="380" t="s">
        <v>196</v>
      </c>
      <c r="E47" s="304">
        <v>44</v>
      </c>
      <c r="F47" s="301">
        <v>78</v>
      </c>
      <c r="G47" s="301">
        <v>9</v>
      </c>
      <c r="H47" s="301">
        <v>11</v>
      </c>
      <c r="I47" s="301">
        <v>21</v>
      </c>
      <c r="J47" s="301">
        <v>17</v>
      </c>
      <c r="K47" s="301">
        <v>18</v>
      </c>
      <c r="L47" s="301">
        <v>18</v>
      </c>
      <c r="M47" s="301">
        <v>14</v>
      </c>
      <c r="N47" s="299">
        <v>0</v>
      </c>
      <c r="O47" s="299">
        <v>0</v>
      </c>
      <c r="P47" s="302">
        <v>8</v>
      </c>
      <c r="Q47" s="303">
        <f t="shared" si="1"/>
        <v>238</v>
      </c>
    </row>
    <row r="48" spans="1:17" ht="14.25">
      <c r="A48" s="352" t="s">
        <v>222</v>
      </c>
      <c r="B48" s="116" t="s">
        <v>184</v>
      </c>
      <c r="C48" s="377">
        <v>10</v>
      </c>
      <c r="D48" s="379" t="s">
        <v>170</v>
      </c>
      <c r="E48" s="298">
        <v>11.7</v>
      </c>
      <c r="F48" s="299">
        <v>11.2</v>
      </c>
      <c r="G48" s="299">
        <v>12.25</v>
      </c>
      <c r="H48" s="299">
        <v>36.85</v>
      </c>
      <c r="I48" s="299">
        <v>29.2</v>
      </c>
      <c r="J48" s="299">
        <v>20.2</v>
      </c>
      <c r="K48" s="299">
        <v>12.4</v>
      </c>
      <c r="L48" s="299">
        <v>16</v>
      </c>
      <c r="M48" s="299">
        <v>31.95</v>
      </c>
      <c r="N48" s="299">
        <v>31.5</v>
      </c>
      <c r="O48" s="299">
        <v>29.25</v>
      </c>
      <c r="P48" s="300">
        <v>12.1</v>
      </c>
      <c r="Q48" s="297">
        <f t="shared" si="1"/>
        <v>254.6</v>
      </c>
    </row>
    <row r="49" spans="1:17" ht="14.25">
      <c r="A49" s="352" t="s">
        <v>223</v>
      </c>
      <c r="B49" s="116" t="s">
        <v>163</v>
      </c>
      <c r="C49" s="377">
        <v>10</v>
      </c>
      <c r="D49" s="379" t="s">
        <v>164</v>
      </c>
      <c r="E49" s="298">
        <v>13</v>
      </c>
      <c r="F49" s="299">
        <v>86</v>
      </c>
      <c r="G49" s="299">
        <v>173</v>
      </c>
      <c r="H49" s="299">
        <v>111.6</v>
      </c>
      <c r="I49" s="299">
        <v>29.7</v>
      </c>
      <c r="J49" s="299">
        <v>31</v>
      </c>
      <c r="K49" s="299">
        <v>116</v>
      </c>
      <c r="L49" s="299">
        <v>160.3</v>
      </c>
      <c r="M49" s="299">
        <v>79.7</v>
      </c>
      <c r="N49" s="299">
        <v>86</v>
      </c>
      <c r="O49" s="299">
        <v>11</v>
      </c>
      <c r="P49" s="300">
        <v>327.3</v>
      </c>
      <c r="Q49" s="297">
        <f t="shared" si="1"/>
        <v>1224.6</v>
      </c>
    </row>
    <row r="50" spans="1:17" ht="14.25">
      <c r="A50" s="352" t="s">
        <v>224</v>
      </c>
      <c r="B50" s="116" t="s">
        <v>166</v>
      </c>
      <c r="C50" s="377">
        <v>10</v>
      </c>
      <c r="D50" s="379" t="s">
        <v>167</v>
      </c>
      <c r="E50" s="298">
        <v>33.3</v>
      </c>
      <c r="F50" s="299">
        <v>90.3</v>
      </c>
      <c r="G50" s="299">
        <v>181</v>
      </c>
      <c r="H50" s="299">
        <v>0</v>
      </c>
      <c r="I50" s="299">
        <v>0</v>
      </c>
      <c r="J50" s="299">
        <v>0</v>
      </c>
      <c r="K50" s="299">
        <v>16</v>
      </c>
      <c r="L50" s="299">
        <v>66</v>
      </c>
      <c r="M50" s="299">
        <v>164.2</v>
      </c>
      <c r="N50" s="299">
        <v>13.3</v>
      </c>
      <c r="O50" s="299">
        <v>13.3</v>
      </c>
      <c r="P50" s="300">
        <v>161.3</v>
      </c>
      <c r="Q50" s="297">
        <f t="shared" si="1"/>
        <v>738.6999999999998</v>
      </c>
    </row>
    <row r="51" spans="1:17" ht="14.25">
      <c r="A51" s="352" t="s">
        <v>225</v>
      </c>
      <c r="B51" s="116" t="s">
        <v>226</v>
      </c>
      <c r="C51" s="377">
        <v>10</v>
      </c>
      <c r="D51" s="379" t="s">
        <v>167</v>
      </c>
      <c r="E51" s="298">
        <v>31.5</v>
      </c>
      <c r="F51" s="299">
        <v>29</v>
      </c>
      <c r="G51" s="299">
        <v>160.5</v>
      </c>
      <c r="H51" s="299">
        <v>0</v>
      </c>
      <c r="I51" s="299">
        <v>21</v>
      </c>
      <c r="J51" s="299">
        <v>23</v>
      </c>
      <c r="K51" s="299">
        <v>19.7</v>
      </c>
      <c r="L51" s="299">
        <v>29.6</v>
      </c>
      <c r="M51" s="299">
        <v>15</v>
      </c>
      <c r="N51" s="299">
        <v>110.7</v>
      </c>
      <c r="O51" s="299">
        <v>72</v>
      </c>
      <c r="P51" s="300">
        <v>24</v>
      </c>
      <c r="Q51" s="297">
        <f t="shared" si="1"/>
        <v>536</v>
      </c>
    </row>
    <row r="52" spans="1:17" ht="14.25">
      <c r="A52" s="352" t="s">
        <v>227</v>
      </c>
      <c r="B52" s="116" t="s">
        <v>226</v>
      </c>
      <c r="C52" s="377">
        <v>10</v>
      </c>
      <c r="D52" s="380" t="s">
        <v>228</v>
      </c>
      <c r="E52" s="304">
        <v>31.5</v>
      </c>
      <c r="F52" s="301">
        <v>277</v>
      </c>
      <c r="G52" s="301">
        <v>264.1</v>
      </c>
      <c r="H52" s="299">
        <v>0</v>
      </c>
      <c r="I52" s="301">
        <v>21</v>
      </c>
      <c r="J52" s="301">
        <v>22.5</v>
      </c>
      <c r="K52" s="301">
        <v>19.7</v>
      </c>
      <c r="L52" s="301">
        <v>29.6</v>
      </c>
      <c r="M52" s="301">
        <v>16.2</v>
      </c>
      <c r="N52" s="301">
        <v>110.7</v>
      </c>
      <c r="O52" s="301">
        <v>74</v>
      </c>
      <c r="P52" s="302">
        <v>24</v>
      </c>
      <c r="Q52" s="303">
        <f t="shared" si="1"/>
        <v>890.3000000000002</v>
      </c>
    </row>
    <row r="53" spans="1:17" ht="14.25">
      <c r="A53" s="352" t="s">
        <v>227</v>
      </c>
      <c r="B53" s="116" t="s">
        <v>166</v>
      </c>
      <c r="C53" s="377">
        <v>10</v>
      </c>
      <c r="D53" s="380" t="s">
        <v>228</v>
      </c>
      <c r="E53" s="304">
        <v>32</v>
      </c>
      <c r="F53" s="301">
        <v>280</v>
      </c>
      <c r="G53" s="301">
        <v>308</v>
      </c>
      <c r="H53" s="299">
        <v>0</v>
      </c>
      <c r="I53" s="301">
        <v>43</v>
      </c>
      <c r="J53" s="301">
        <v>18</v>
      </c>
      <c r="K53" s="301">
        <v>15.2</v>
      </c>
      <c r="L53" s="301">
        <v>25.5</v>
      </c>
      <c r="M53" s="301">
        <v>16.8</v>
      </c>
      <c r="N53" s="301">
        <v>137.3</v>
      </c>
      <c r="O53" s="301">
        <v>85.6</v>
      </c>
      <c r="P53" s="302">
        <v>33</v>
      </c>
      <c r="Q53" s="303">
        <f t="shared" si="1"/>
        <v>994.4</v>
      </c>
    </row>
    <row r="54" spans="1:17" ht="14.25">
      <c r="A54" s="352" t="s">
        <v>227</v>
      </c>
      <c r="B54" s="116" t="s">
        <v>174</v>
      </c>
      <c r="C54" s="377">
        <v>10</v>
      </c>
      <c r="D54" s="380" t="s">
        <v>228</v>
      </c>
      <c r="E54" s="304">
        <v>32</v>
      </c>
      <c r="F54" s="301">
        <v>114.6</v>
      </c>
      <c r="G54" s="301">
        <v>208</v>
      </c>
      <c r="H54" s="299">
        <v>0</v>
      </c>
      <c r="I54" s="301">
        <v>43</v>
      </c>
      <c r="J54" s="301">
        <v>18</v>
      </c>
      <c r="K54" s="301">
        <v>15.2</v>
      </c>
      <c r="L54" s="301">
        <v>25.5</v>
      </c>
      <c r="M54" s="301">
        <v>16.8</v>
      </c>
      <c r="N54" s="301">
        <v>145.1</v>
      </c>
      <c r="O54" s="301">
        <v>85.6</v>
      </c>
      <c r="P54" s="302">
        <v>33</v>
      </c>
      <c r="Q54" s="303">
        <f t="shared" si="1"/>
        <v>736.8000000000001</v>
      </c>
    </row>
    <row r="55" spans="1:17" ht="14.25">
      <c r="A55" s="352" t="s">
        <v>229</v>
      </c>
      <c r="B55" s="116" t="s">
        <v>191</v>
      </c>
      <c r="C55" s="377">
        <v>10</v>
      </c>
      <c r="D55" s="380" t="s">
        <v>228</v>
      </c>
      <c r="E55" s="304">
        <v>141.5</v>
      </c>
      <c r="F55" s="301">
        <v>130.5</v>
      </c>
      <c r="G55" s="301">
        <v>123</v>
      </c>
      <c r="H55" s="301">
        <v>117</v>
      </c>
      <c r="I55" s="301">
        <v>127.5</v>
      </c>
      <c r="J55" s="301">
        <v>186</v>
      </c>
      <c r="K55" s="301">
        <v>105</v>
      </c>
      <c r="L55" s="301">
        <v>84</v>
      </c>
      <c r="M55" s="301">
        <v>95.5</v>
      </c>
      <c r="N55" s="301">
        <v>111</v>
      </c>
      <c r="O55" s="301">
        <v>182</v>
      </c>
      <c r="P55" s="302">
        <v>195</v>
      </c>
      <c r="Q55" s="303">
        <f t="shared" si="1"/>
        <v>1598</v>
      </c>
    </row>
    <row r="56" spans="1:17" ht="14.25">
      <c r="A56" s="352" t="s">
        <v>230</v>
      </c>
      <c r="B56" s="116" t="s">
        <v>226</v>
      </c>
      <c r="C56" s="377">
        <v>10</v>
      </c>
      <c r="D56" s="379" t="s">
        <v>228</v>
      </c>
      <c r="E56" s="298">
        <v>114.3</v>
      </c>
      <c r="F56" s="299">
        <v>92.3</v>
      </c>
      <c r="G56" s="299">
        <v>100.5</v>
      </c>
      <c r="H56" s="299">
        <v>99.4</v>
      </c>
      <c r="I56" s="299">
        <v>119.1</v>
      </c>
      <c r="J56" s="299">
        <v>130.3</v>
      </c>
      <c r="K56" s="299">
        <v>130.6</v>
      </c>
      <c r="L56" s="299">
        <v>142.9</v>
      </c>
      <c r="M56" s="299">
        <v>148.6</v>
      </c>
      <c r="N56" s="299">
        <v>175.1</v>
      </c>
      <c r="O56" s="299">
        <v>139</v>
      </c>
      <c r="P56" s="300">
        <v>137.9</v>
      </c>
      <c r="Q56" s="297">
        <f t="shared" si="1"/>
        <v>1530</v>
      </c>
    </row>
    <row r="57" spans="1:17" ht="14.25">
      <c r="A57" s="352" t="s">
        <v>231</v>
      </c>
      <c r="B57" s="116" t="s">
        <v>163</v>
      </c>
      <c r="C57" s="377">
        <v>10</v>
      </c>
      <c r="D57" s="379" t="s">
        <v>164</v>
      </c>
      <c r="E57" s="298">
        <v>108</v>
      </c>
      <c r="F57" s="299">
        <v>86.4</v>
      </c>
      <c r="G57" s="299">
        <v>132</v>
      </c>
      <c r="H57" s="299">
        <v>38.4</v>
      </c>
      <c r="I57" s="299">
        <v>31.2</v>
      </c>
      <c r="J57" s="299">
        <v>33.6</v>
      </c>
      <c r="K57" s="299">
        <v>57.6</v>
      </c>
      <c r="L57" s="299">
        <v>50.4</v>
      </c>
      <c r="M57" s="299">
        <v>72</v>
      </c>
      <c r="N57" s="299">
        <v>57.6</v>
      </c>
      <c r="O57" s="299">
        <v>240</v>
      </c>
      <c r="P57" s="300">
        <v>104</v>
      </c>
      <c r="Q57" s="297">
        <f t="shared" si="1"/>
        <v>1011.2</v>
      </c>
    </row>
    <row r="58" spans="1:17" ht="14.25">
      <c r="A58" s="352" t="s">
        <v>232</v>
      </c>
      <c r="B58" s="116" t="s">
        <v>233</v>
      </c>
      <c r="C58" s="377"/>
      <c r="D58" s="379" t="s">
        <v>234</v>
      </c>
      <c r="E58" s="298"/>
      <c r="F58" s="299"/>
      <c r="G58" s="299"/>
      <c r="H58" s="299"/>
      <c r="I58" s="299"/>
      <c r="J58" s="299"/>
      <c r="K58" s="299"/>
      <c r="L58" s="299"/>
      <c r="M58" s="299"/>
      <c r="N58" s="299"/>
      <c r="O58" s="299"/>
      <c r="P58" s="300"/>
      <c r="Q58" s="297">
        <f t="shared" si="1"/>
        <v>0</v>
      </c>
    </row>
    <row r="59" spans="1:17" ht="14.25">
      <c r="A59" s="352" t="s">
        <v>235</v>
      </c>
      <c r="B59" s="116" t="s">
        <v>115</v>
      </c>
      <c r="C59" s="377">
        <v>10</v>
      </c>
      <c r="D59" s="379" t="s">
        <v>228</v>
      </c>
      <c r="E59" s="305">
        <v>22</v>
      </c>
      <c r="F59" s="306">
        <v>31</v>
      </c>
      <c r="G59" s="299">
        <v>66.6</v>
      </c>
      <c r="H59" s="299">
        <v>43.5</v>
      </c>
      <c r="I59" s="306">
        <v>106.4</v>
      </c>
      <c r="J59" s="306">
        <v>106.4</v>
      </c>
      <c r="K59" s="299">
        <v>105.9</v>
      </c>
      <c r="L59" s="306">
        <v>113.9</v>
      </c>
      <c r="M59" s="306">
        <v>92.4</v>
      </c>
      <c r="N59" s="299">
        <v>67.8</v>
      </c>
      <c r="O59" s="306">
        <v>36.5</v>
      </c>
      <c r="P59" s="307">
        <v>28</v>
      </c>
      <c r="Q59" s="308">
        <f t="shared" si="1"/>
        <v>820.3999999999999</v>
      </c>
    </row>
    <row r="60" spans="1:17" ht="14.25">
      <c r="A60" s="352" t="s">
        <v>236</v>
      </c>
      <c r="B60" s="116" t="s">
        <v>206</v>
      </c>
      <c r="C60" s="377">
        <v>10</v>
      </c>
      <c r="D60" s="379" t="s">
        <v>228</v>
      </c>
      <c r="E60" s="298">
        <v>19.8</v>
      </c>
      <c r="F60" s="299">
        <v>29.1</v>
      </c>
      <c r="G60" s="299">
        <v>56.4</v>
      </c>
      <c r="H60" s="299">
        <v>54.9</v>
      </c>
      <c r="I60" s="299">
        <v>34.2</v>
      </c>
      <c r="J60" s="299">
        <v>66.6</v>
      </c>
      <c r="K60" s="299">
        <v>40.5</v>
      </c>
      <c r="L60" s="299">
        <v>27.5</v>
      </c>
      <c r="M60" s="299">
        <v>38.7</v>
      </c>
      <c r="N60" s="299">
        <v>62.1</v>
      </c>
      <c r="O60" s="299">
        <v>46.5</v>
      </c>
      <c r="P60" s="300">
        <v>38.4</v>
      </c>
      <c r="Q60" s="297">
        <f t="shared" si="1"/>
        <v>514.7</v>
      </c>
    </row>
    <row r="61" spans="1:17" ht="14.25">
      <c r="A61" s="352" t="s">
        <v>237</v>
      </c>
      <c r="B61" s="116" t="s">
        <v>221</v>
      </c>
      <c r="C61" s="377">
        <v>10</v>
      </c>
      <c r="D61" s="380" t="s">
        <v>196</v>
      </c>
      <c r="E61" s="304">
        <v>36</v>
      </c>
      <c r="F61" s="301">
        <v>66</v>
      </c>
      <c r="G61" s="301">
        <v>292</v>
      </c>
      <c r="H61" s="301">
        <v>270</v>
      </c>
      <c r="I61" s="301">
        <v>310</v>
      </c>
      <c r="J61" s="301">
        <v>90</v>
      </c>
      <c r="K61" s="301">
        <v>32</v>
      </c>
      <c r="L61" s="301">
        <v>36</v>
      </c>
      <c r="M61" s="301">
        <v>32</v>
      </c>
      <c r="N61" s="301">
        <v>130</v>
      </c>
      <c r="O61" s="301">
        <v>44</v>
      </c>
      <c r="P61" s="302">
        <v>222</v>
      </c>
      <c r="Q61" s="303">
        <f t="shared" si="1"/>
        <v>1560</v>
      </c>
    </row>
    <row r="62" spans="1:17" ht="14.25">
      <c r="A62" s="352" t="s">
        <v>238</v>
      </c>
      <c r="B62" s="116" t="s">
        <v>163</v>
      </c>
      <c r="C62" s="377">
        <v>10</v>
      </c>
      <c r="D62" s="380" t="s">
        <v>164</v>
      </c>
      <c r="E62" s="304">
        <v>4.7</v>
      </c>
      <c r="F62" s="301">
        <v>20.7</v>
      </c>
      <c r="G62" s="301">
        <v>6.7</v>
      </c>
      <c r="H62" s="301">
        <v>4.7</v>
      </c>
      <c r="I62" s="301">
        <v>8.9</v>
      </c>
      <c r="J62" s="301">
        <v>8.9</v>
      </c>
      <c r="K62" s="301">
        <v>8.9</v>
      </c>
      <c r="L62" s="301">
        <v>8.9</v>
      </c>
      <c r="M62" s="301">
        <v>8.9</v>
      </c>
      <c r="N62" s="301">
        <v>8.9</v>
      </c>
      <c r="O62" s="301">
        <v>8.9</v>
      </c>
      <c r="P62" s="302">
        <v>24.9</v>
      </c>
      <c r="Q62" s="303">
        <f t="shared" si="1"/>
        <v>124.00000000000003</v>
      </c>
    </row>
    <row r="63" spans="1:17" ht="14.25">
      <c r="A63" s="352" t="s">
        <v>239</v>
      </c>
      <c r="B63" s="116" t="s">
        <v>240</v>
      </c>
      <c r="C63" s="377">
        <v>10</v>
      </c>
      <c r="D63" s="380" t="s">
        <v>228</v>
      </c>
      <c r="E63" s="304">
        <v>43</v>
      </c>
      <c r="F63" s="301">
        <v>21</v>
      </c>
      <c r="G63" s="301">
        <v>4</v>
      </c>
      <c r="H63" s="301">
        <v>4</v>
      </c>
      <c r="I63" s="301">
        <v>61</v>
      </c>
      <c r="J63" s="301">
        <v>229</v>
      </c>
      <c r="K63" s="301">
        <v>6</v>
      </c>
      <c r="L63" s="301">
        <v>4</v>
      </c>
      <c r="M63" s="301">
        <v>154</v>
      </c>
      <c r="N63" s="301">
        <v>61</v>
      </c>
      <c r="O63" s="301">
        <v>4</v>
      </c>
      <c r="P63" s="302">
        <v>154</v>
      </c>
      <c r="Q63" s="303">
        <f t="shared" si="1"/>
        <v>745</v>
      </c>
    </row>
    <row r="64" spans="1:17" ht="14.25">
      <c r="A64" s="352" t="s">
        <v>241</v>
      </c>
      <c r="B64" s="116" t="s">
        <v>242</v>
      </c>
      <c r="C64" s="377">
        <v>10</v>
      </c>
      <c r="D64" s="380" t="s">
        <v>228</v>
      </c>
      <c r="E64" s="304">
        <v>21.9</v>
      </c>
      <c r="F64" s="301">
        <v>21.9</v>
      </c>
      <c r="G64" s="301">
        <v>88.5</v>
      </c>
      <c r="H64" s="301">
        <v>202.8</v>
      </c>
      <c r="I64" s="301">
        <v>198.2</v>
      </c>
      <c r="J64" s="301">
        <v>202.3</v>
      </c>
      <c r="K64" s="299">
        <v>0</v>
      </c>
      <c r="L64" s="299">
        <v>0</v>
      </c>
      <c r="M64" s="301">
        <v>338.1</v>
      </c>
      <c r="N64" s="301">
        <v>779.7</v>
      </c>
      <c r="O64" s="301">
        <v>145.8</v>
      </c>
      <c r="P64" s="302">
        <v>122.8</v>
      </c>
      <c r="Q64" s="303">
        <f t="shared" si="1"/>
        <v>2122</v>
      </c>
    </row>
    <row r="65" spans="1:17" ht="14.25">
      <c r="A65" s="352" t="s">
        <v>241</v>
      </c>
      <c r="B65" s="116" t="s">
        <v>243</v>
      </c>
      <c r="C65" s="377">
        <v>10</v>
      </c>
      <c r="D65" s="380" t="s">
        <v>196</v>
      </c>
      <c r="E65" s="304">
        <v>21.9</v>
      </c>
      <c r="F65" s="301">
        <v>21.9</v>
      </c>
      <c r="G65" s="301">
        <v>88.5</v>
      </c>
      <c r="H65" s="301">
        <v>202.8</v>
      </c>
      <c r="I65" s="301">
        <v>198.2</v>
      </c>
      <c r="J65" s="301">
        <v>202.3</v>
      </c>
      <c r="K65" s="301">
        <v>0</v>
      </c>
      <c r="L65" s="301">
        <v>0</v>
      </c>
      <c r="M65" s="301">
        <v>440.3</v>
      </c>
      <c r="N65" s="301">
        <v>845.5</v>
      </c>
      <c r="O65" s="301">
        <v>133.8</v>
      </c>
      <c r="P65" s="302">
        <v>122.8</v>
      </c>
      <c r="Q65" s="303">
        <f t="shared" si="1"/>
        <v>2278</v>
      </c>
    </row>
    <row r="66" spans="1:17" ht="14.25">
      <c r="A66" s="354" t="s">
        <v>244</v>
      </c>
      <c r="B66" s="116" t="s">
        <v>166</v>
      </c>
      <c r="C66" s="377">
        <v>10</v>
      </c>
      <c r="D66" s="380" t="s">
        <v>228</v>
      </c>
      <c r="E66" s="304">
        <v>154.56</v>
      </c>
      <c r="F66" s="301">
        <v>150.36</v>
      </c>
      <c r="G66" s="301">
        <v>277.76</v>
      </c>
      <c r="H66" s="301">
        <v>304.46</v>
      </c>
      <c r="I66" s="301">
        <v>295.7</v>
      </c>
      <c r="J66" s="301">
        <v>239.7</v>
      </c>
      <c r="K66" s="301">
        <v>204.6</v>
      </c>
      <c r="L66" s="301">
        <v>145.8</v>
      </c>
      <c r="M66" s="301">
        <v>141.6</v>
      </c>
      <c r="N66" s="301">
        <v>145.8</v>
      </c>
      <c r="O66" s="301">
        <v>141.6</v>
      </c>
      <c r="P66" s="302">
        <v>154.56</v>
      </c>
      <c r="Q66" s="303">
        <f t="shared" si="1"/>
        <v>2356.5</v>
      </c>
    </row>
    <row r="67" spans="1:17" ht="14.25">
      <c r="A67" s="352" t="s">
        <v>245</v>
      </c>
      <c r="B67" s="116" t="s">
        <v>163</v>
      </c>
      <c r="C67" s="377">
        <v>10</v>
      </c>
      <c r="D67" s="380" t="s">
        <v>164</v>
      </c>
      <c r="E67" s="304">
        <v>6</v>
      </c>
      <c r="F67" s="301">
        <v>56.5</v>
      </c>
      <c r="G67" s="301">
        <v>25</v>
      </c>
      <c r="H67" s="301">
        <v>6</v>
      </c>
      <c r="I67" s="301">
        <v>16</v>
      </c>
      <c r="J67" s="301">
        <v>27</v>
      </c>
      <c r="K67" s="301">
        <v>29</v>
      </c>
      <c r="L67" s="301">
        <v>17</v>
      </c>
      <c r="M67" s="301">
        <v>5</v>
      </c>
      <c r="N67" s="301">
        <v>11</v>
      </c>
      <c r="O67" s="301">
        <v>18</v>
      </c>
      <c r="P67" s="300">
        <v>0</v>
      </c>
      <c r="Q67" s="303">
        <f t="shared" si="1"/>
        <v>216.5</v>
      </c>
    </row>
    <row r="68" spans="1:17" ht="14.25">
      <c r="A68" s="352" t="s">
        <v>246</v>
      </c>
      <c r="B68" s="116" t="s">
        <v>247</v>
      </c>
      <c r="C68" s="377">
        <v>10</v>
      </c>
      <c r="D68" s="380" t="s">
        <v>164</v>
      </c>
      <c r="E68" s="304">
        <v>13.2</v>
      </c>
      <c r="F68" s="301">
        <v>50.8</v>
      </c>
      <c r="G68" s="301">
        <v>31</v>
      </c>
      <c r="H68" s="301">
        <v>12</v>
      </c>
      <c r="I68" s="301">
        <v>19</v>
      </c>
      <c r="J68" s="301">
        <v>27</v>
      </c>
      <c r="K68" s="301">
        <v>32</v>
      </c>
      <c r="L68" s="301">
        <v>14</v>
      </c>
      <c r="M68" s="301">
        <v>5</v>
      </c>
      <c r="N68" s="301">
        <v>8</v>
      </c>
      <c r="O68" s="301">
        <v>21</v>
      </c>
      <c r="P68" s="302">
        <v>3</v>
      </c>
      <c r="Q68" s="303">
        <f t="shared" si="1"/>
        <v>236</v>
      </c>
    </row>
    <row r="69" spans="1:17" ht="14.25">
      <c r="A69" s="352" t="s">
        <v>248</v>
      </c>
      <c r="B69" s="116" t="s">
        <v>163</v>
      </c>
      <c r="C69" s="377">
        <v>10</v>
      </c>
      <c r="D69" s="380" t="s">
        <v>164</v>
      </c>
      <c r="E69" s="304">
        <v>29</v>
      </c>
      <c r="F69" s="301">
        <v>3</v>
      </c>
      <c r="G69" s="301">
        <v>9</v>
      </c>
      <c r="H69" s="301">
        <v>6</v>
      </c>
      <c r="I69" s="301">
        <v>21</v>
      </c>
      <c r="J69" s="301">
        <v>15</v>
      </c>
      <c r="K69" s="301">
        <v>18</v>
      </c>
      <c r="L69" s="301">
        <v>35.3</v>
      </c>
      <c r="M69" s="301">
        <v>62.7</v>
      </c>
      <c r="N69" s="301">
        <v>5</v>
      </c>
      <c r="O69" s="301">
        <v>26</v>
      </c>
      <c r="P69" s="302">
        <v>24</v>
      </c>
      <c r="Q69" s="303">
        <f t="shared" si="1"/>
        <v>254</v>
      </c>
    </row>
    <row r="70" spans="1:17" ht="14.25">
      <c r="A70" s="352" t="s">
        <v>248</v>
      </c>
      <c r="B70" s="116" t="s">
        <v>219</v>
      </c>
      <c r="C70" s="377">
        <v>10</v>
      </c>
      <c r="D70" s="380" t="s">
        <v>228</v>
      </c>
      <c r="E70" s="304">
        <v>27</v>
      </c>
      <c r="F70" s="301">
        <v>5</v>
      </c>
      <c r="G70" s="301">
        <v>12</v>
      </c>
      <c r="H70" s="301">
        <v>18</v>
      </c>
      <c r="I70" s="301">
        <v>24</v>
      </c>
      <c r="J70" s="301">
        <v>21</v>
      </c>
      <c r="K70" s="301">
        <v>24</v>
      </c>
      <c r="L70" s="301">
        <v>32.3</v>
      </c>
      <c r="M70" s="301">
        <v>60.7</v>
      </c>
      <c r="N70" s="301">
        <v>8</v>
      </c>
      <c r="O70" s="301">
        <v>26</v>
      </c>
      <c r="P70" s="302">
        <v>24</v>
      </c>
      <c r="Q70" s="303">
        <f t="shared" si="1"/>
        <v>282</v>
      </c>
    </row>
    <row r="71" spans="1:17" ht="14.25">
      <c r="A71" s="352" t="s">
        <v>249</v>
      </c>
      <c r="B71" s="116" t="s">
        <v>163</v>
      </c>
      <c r="C71" s="377">
        <v>10</v>
      </c>
      <c r="D71" s="380" t="s">
        <v>164</v>
      </c>
      <c r="E71" s="304">
        <v>5.4</v>
      </c>
      <c r="F71" s="301">
        <v>26.4</v>
      </c>
      <c r="G71" s="301">
        <v>36</v>
      </c>
      <c r="H71" s="301">
        <v>18.8</v>
      </c>
      <c r="I71" s="301">
        <v>40.4</v>
      </c>
      <c r="J71" s="301">
        <v>29.4</v>
      </c>
      <c r="K71" s="301">
        <v>153.8</v>
      </c>
      <c r="L71" s="301">
        <v>162.4</v>
      </c>
      <c r="M71" s="301">
        <v>34.2</v>
      </c>
      <c r="N71" s="301">
        <v>24.4</v>
      </c>
      <c r="O71" s="301">
        <v>3.4</v>
      </c>
      <c r="P71" s="302">
        <v>18.2</v>
      </c>
      <c r="Q71" s="303">
        <f t="shared" si="1"/>
        <v>552.8000000000001</v>
      </c>
    </row>
    <row r="72" spans="1:17" ht="14.25">
      <c r="A72" s="352" t="s">
        <v>250</v>
      </c>
      <c r="B72" s="116" t="s">
        <v>240</v>
      </c>
      <c r="C72" s="377">
        <v>10</v>
      </c>
      <c r="D72" s="380" t="s">
        <v>228</v>
      </c>
      <c r="E72" s="304">
        <v>36</v>
      </c>
      <c r="F72" s="301">
        <v>27.5</v>
      </c>
      <c r="G72" s="301">
        <v>41.5</v>
      </c>
      <c r="H72" s="301">
        <v>13</v>
      </c>
      <c r="I72" s="301">
        <v>116</v>
      </c>
      <c r="J72" s="301">
        <v>62</v>
      </c>
      <c r="K72" s="301">
        <v>71</v>
      </c>
      <c r="L72" s="301">
        <v>54.5</v>
      </c>
      <c r="M72" s="301">
        <v>19.5</v>
      </c>
      <c r="N72" s="301">
        <v>2</v>
      </c>
      <c r="O72" s="301">
        <v>37.5</v>
      </c>
      <c r="P72" s="302">
        <v>4</v>
      </c>
      <c r="Q72" s="303">
        <f aca="true" t="shared" si="2" ref="Q72:Q103">SUM(E72:P72)</f>
        <v>484.5</v>
      </c>
    </row>
    <row r="73" spans="1:17" ht="14.25">
      <c r="A73" s="352" t="s">
        <v>249</v>
      </c>
      <c r="B73" s="116" t="s">
        <v>251</v>
      </c>
      <c r="C73" s="377">
        <v>10</v>
      </c>
      <c r="D73" s="380" t="s">
        <v>130</v>
      </c>
      <c r="E73" s="304">
        <v>4.9</v>
      </c>
      <c r="F73" s="301">
        <v>10.9</v>
      </c>
      <c r="G73" s="301">
        <v>27.6</v>
      </c>
      <c r="H73" s="301">
        <v>40.2</v>
      </c>
      <c r="I73" s="301">
        <v>35.8</v>
      </c>
      <c r="J73" s="301">
        <v>31.2</v>
      </c>
      <c r="K73" s="301">
        <v>93.2</v>
      </c>
      <c r="L73" s="301">
        <v>59.2</v>
      </c>
      <c r="M73" s="301">
        <v>29.2</v>
      </c>
      <c r="N73" s="301">
        <v>17.2</v>
      </c>
      <c r="O73" s="301">
        <v>23.9</v>
      </c>
      <c r="P73" s="302">
        <v>52.6</v>
      </c>
      <c r="Q73" s="303">
        <f t="shared" si="2"/>
        <v>425.9</v>
      </c>
    </row>
    <row r="74" spans="1:17" ht="14.25">
      <c r="A74" s="352" t="s">
        <v>252</v>
      </c>
      <c r="B74" s="116" t="s">
        <v>253</v>
      </c>
      <c r="C74" s="377">
        <v>10</v>
      </c>
      <c r="D74" s="380" t="s">
        <v>234</v>
      </c>
      <c r="E74" s="298">
        <v>0</v>
      </c>
      <c r="F74" s="301">
        <v>8</v>
      </c>
      <c r="G74" s="301">
        <v>12</v>
      </c>
      <c r="H74" s="301">
        <v>8</v>
      </c>
      <c r="I74" s="301">
        <v>18</v>
      </c>
      <c r="J74" s="301">
        <v>34</v>
      </c>
      <c r="K74" s="301">
        <v>4</v>
      </c>
      <c r="L74" s="301">
        <v>12</v>
      </c>
      <c r="M74" s="299">
        <v>0</v>
      </c>
      <c r="N74" s="301">
        <v>30</v>
      </c>
      <c r="O74" s="299">
        <v>0</v>
      </c>
      <c r="P74" s="302">
        <v>4</v>
      </c>
      <c r="Q74" s="303">
        <f t="shared" si="2"/>
        <v>130</v>
      </c>
    </row>
    <row r="75" spans="1:17" ht="14.25">
      <c r="A75" s="352" t="s">
        <v>254</v>
      </c>
      <c r="B75" s="116" t="s">
        <v>219</v>
      </c>
      <c r="C75" s="377">
        <f>20/2</f>
        <v>10</v>
      </c>
      <c r="D75" s="380" t="s">
        <v>228</v>
      </c>
      <c r="E75" s="298">
        <v>0</v>
      </c>
      <c r="F75" s="299">
        <v>0</v>
      </c>
      <c r="G75" s="301">
        <f>3/2</f>
        <v>1.5</v>
      </c>
      <c r="H75" s="301">
        <f>1/2</f>
        <v>0.5</v>
      </c>
      <c r="I75" s="301">
        <f>18/2</f>
        <v>9</v>
      </c>
      <c r="J75" s="301">
        <f>37/2</f>
        <v>18.5</v>
      </c>
      <c r="K75" s="301">
        <f>26/2</f>
        <v>13</v>
      </c>
      <c r="L75" s="301">
        <f>35/2</f>
        <v>17.5</v>
      </c>
      <c r="M75" s="301">
        <f>8/2</f>
        <v>4</v>
      </c>
      <c r="N75" s="301">
        <f>1/2</f>
        <v>0.5</v>
      </c>
      <c r="O75" s="301">
        <f>1/2</f>
        <v>0.5</v>
      </c>
      <c r="P75" s="300">
        <v>0</v>
      </c>
      <c r="Q75" s="303">
        <f t="shared" si="2"/>
        <v>65</v>
      </c>
    </row>
    <row r="76" spans="1:17" ht="14.25">
      <c r="A76" s="352" t="s">
        <v>255</v>
      </c>
      <c r="B76" s="116" t="s">
        <v>256</v>
      </c>
      <c r="C76" s="377">
        <v>10</v>
      </c>
      <c r="D76" s="380" t="s">
        <v>234</v>
      </c>
      <c r="E76" s="304">
        <v>13</v>
      </c>
      <c r="F76" s="301">
        <v>5</v>
      </c>
      <c r="G76" s="301">
        <v>6</v>
      </c>
      <c r="H76" s="301">
        <v>3</v>
      </c>
      <c r="I76" s="301">
        <v>5</v>
      </c>
      <c r="J76" s="301">
        <v>3</v>
      </c>
      <c r="K76" s="299">
        <v>0</v>
      </c>
      <c r="L76" s="301">
        <v>5</v>
      </c>
      <c r="M76" s="299">
        <v>0</v>
      </c>
      <c r="N76" s="301">
        <v>83</v>
      </c>
      <c r="O76" s="301">
        <v>80</v>
      </c>
      <c r="P76" s="302">
        <v>13</v>
      </c>
      <c r="Q76" s="303">
        <f t="shared" si="2"/>
        <v>216</v>
      </c>
    </row>
    <row r="77" spans="1:17" ht="14.25">
      <c r="A77" s="352" t="s">
        <v>257</v>
      </c>
      <c r="B77" s="116" t="s">
        <v>166</v>
      </c>
      <c r="C77" s="377">
        <v>10</v>
      </c>
      <c r="D77" s="380" t="s">
        <v>228</v>
      </c>
      <c r="E77" s="298">
        <v>0</v>
      </c>
      <c r="F77" s="301">
        <v>8</v>
      </c>
      <c r="G77" s="301">
        <v>16</v>
      </c>
      <c r="H77" s="301">
        <v>18</v>
      </c>
      <c r="I77" s="301">
        <v>82</v>
      </c>
      <c r="J77" s="301">
        <v>21</v>
      </c>
      <c r="K77" s="301">
        <v>64</v>
      </c>
      <c r="L77" s="301">
        <v>28</v>
      </c>
      <c r="M77" s="301">
        <v>14</v>
      </c>
      <c r="N77" s="301">
        <v>42</v>
      </c>
      <c r="O77" s="299">
        <v>0</v>
      </c>
      <c r="P77" s="302">
        <v>8</v>
      </c>
      <c r="Q77" s="303">
        <f t="shared" si="2"/>
        <v>301</v>
      </c>
    </row>
    <row r="78" spans="1:17" ht="14.25">
      <c r="A78" s="352" t="s">
        <v>258</v>
      </c>
      <c r="B78" s="116" t="s">
        <v>259</v>
      </c>
      <c r="C78" s="377">
        <v>10</v>
      </c>
      <c r="D78" s="380" t="s">
        <v>260</v>
      </c>
      <c r="E78" s="304">
        <v>25.7</v>
      </c>
      <c r="F78" s="301">
        <v>40.7</v>
      </c>
      <c r="G78" s="301">
        <v>40.7</v>
      </c>
      <c r="H78" s="301">
        <v>38.7</v>
      </c>
      <c r="I78" s="301">
        <v>45.7</v>
      </c>
      <c r="J78" s="301">
        <v>40.7</v>
      </c>
      <c r="K78" s="301">
        <v>28.9</v>
      </c>
      <c r="L78" s="301">
        <v>3</v>
      </c>
      <c r="M78" s="301">
        <v>3</v>
      </c>
      <c r="N78" s="301">
        <v>2</v>
      </c>
      <c r="O78" s="301">
        <v>16</v>
      </c>
      <c r="P78" s="300">
        <v>0</v>
      </c>
      <c r="Q78" s="303">
        <f t="shared" si="2"/>
        <v>285.09999999999997</v>
      </c>
    </row>
    <row r="79" spans="1:17" ht="14.25">
      <c r="A79" s="352" t="s">
        <v>261</v>
      </c>
      <c r="B79" s="116" t="s">
        <v>184</v>
      </c>
      <c r="C79" s="377">
        <v>10</v>
      </c>
      <c r="D79" s="380" t="s">
        <v>170</v>
      </c>
      <c r="E79" s="304">
        <v>22.5</v>
      </c>
      <c r="F79" s="301">
        <v>21</v>
      </c>
      <c r="G79" s="301">
        <v>42.5</v>
      </c>
      <c r="H79" s="301">
        <v>8.5</v>
      </c>
      <c r="I79" s="301"/>
      <c r="J79" s="301">
        <v>1.5</v>
      </c>
      <c r="K79" s="301">
        <v>2</v>
      </c>
      <c r="L79" s="301">
        <v>9</v>
      </c>
      <c r="M79" s="301">
        <v>36.5</v>
      </c>
      <c r="N79" s="301">
        <v>21</v>
      </c>
      <c r="O79" s="301">
        <v>21</v>
      </c>
      <c r="P79" s="302">
        <v>21</v>
      </c>
      <c r="Q79" s="303">
        <f t="shared" si="2"/>
        <v>206.5</v>
      </c>
    </row>
    <row r="80" spans="1:17" ht="14.25">
      <c r="A80" s="354" t="s">
        <v>262</v>
      </c>
      <c r="B80" s="116" t="s">
        <v>166</v>
      </c>
      <c r="C80" s="377">
        <v>10</v>
      </c>
      <c r="D80" s="380" t="s">
        <v>228</v>
      </c>
      <c r="E80" s="304">
        <v>46.1</v>
      </c>
      <c r="F80" s="301">
        <v>54.1</v>
      </c>
      <c r="G80" s="301">
        <v>15.1</v>
      </c>
      <c r="H80" s="301">
        <v>60.1</v>
      </c>
      <c r="I80" s="301">
        <v>137.1</v>
      </c>
      <c r="J80" s="301">
        <v>101.6</v>
      </c>
      <c r="K80" s="301">
        <v>38.3</v>
      </c>
      <c r="L80" s="301">
        <v>26.5</v>
      </c>
      <c r="M80" s="301">
        <v>46.6</v>
      </c>
      <c r="N80" s="301">
        <v>40.7</v>
      </c>
      <c r="O80" s="301">
        <v>94</v>
      </c>
      <c r="P80" s="302">
        <v>58.1</v>
      </c>
      <c r="Q80" s="303">
        <f t="shared" si="2"/>
        <v>718.3000000000001</v>
      </c>
    </row>
    <row r="81" spans="1:17" ht="14.25">
      <c r="A81" s="354" t="s">
        <v>263</v>
      </c>
      <c r="B81" s="116" t="s">
        <v>264</v>
      </c>
      <c r="C81" s="377">
        <v>10</v>
      </c>
      <c r="D81" s="380" t="s">
        <v>228</v>
      </c>
      <c r="E81" s="304">
        <v>39.1</v>
      </c>
      <c r="F81" s="301">
        <v>22.1</v>
      </c>
      <c r="G81" s="301">
        <v>9.1</v>
      </c>
      <c r="H81" s="301">
        <v>11.1</v>
      </c>
      <c r="I81" s="301">
        <v>68.1</v>
      </c>
      <c r="J81" s="301">
        <v>69.6</v>
      </c>
      <c r="K81" s="301">
        <v>63.1</v>
      </c>
      <c r="L81" s="301">
        <v>53.7</v>
      </c>
      <c r="M81" s="301">
        <v>58.6</v>
      </c>
      <c r="N81" s="301">
        <v>18.1</v>
      </c>
      <c r="O81" s="301">
        <v>38.6</v>
      </c>
      <c r="P81" s="302">
        <v>54.1</v>
      </c>
      <c r="Q81" s="303">
        <f t="shared" si="2"/>
        <v>505.30000000000007</v>
      </c>
    </row>
    <row r="82" spans="1:17" ht="14.25">
      <c r="A82" s="352" t="s">
        <v>265</v>
      </c>
      <c r="B82" s="116" t="s">
        <v>115</v>
      </c>
      <c r="C82" s="377">
        <v>10</v>
      </c>
      <c r="D82" s="380" t="s">
        <v>228</v>
      </c>
      <c r="E82" s="304">
        <v>99</v>
      </c>
      <c r="F82" s="301">
        <v>115.5</v>
      </c>
      <c r="G82" s="301">
        <v>115.5</v>
      </c>
      <c r="H82" s="301">
        <v>115</v>
      </c>
      <c r="I82" s="301">
        <v>106.9</v>
      </c>
      <c r="J82" s="301">
        <v>30.6</v>
      </c>
      <c r="K82" s="299">
        <v>0</v>
      </c>
      <c r="L82" s="301">
        <v>6.6</v>
      </c>
      <c r="M82" s="301">
        <v>61</v>
      </c>
      <c r="N82" s="301">
        <v>25.5</v>
      </c>
      <c r="O82" s="301">
        <v>16.5</v>
      </c>
      <c r="P82" s="302">
        <v>43.5</v>
      </c>
      <c r="Q82" s="303">
        <f t="shared" si="2"/>
        <v>735.6</v>
      </c>
    </row>
    <row r="83" spans="1:17" ht="14.25">
      <c r="A83" s="352" t="s">
        <v>266</v>
      </c>
      <c r="B83" s="116" t="s">
        <v>243</v>
      </c>
      <c r="C83" s="377"/>
      <c r="D83" s="380" t="s">
        <v>196</v>
      </c>
      <c r="E83" s="304">
        <v>12</v>
      </c>
      <c r="F83" s="301">
        <v>10.5</v>
      </c>
      <c r="G83" s="301">
        <v>6</v>
      </c>
      <c r="H83" s="301">
        <v>12</v>
      </c>
      <c r="I83" s="301">
        <v>8.5</v>
      </c>
      <c r="J83" s="301">
        <v>109</v>
      </c>
      <c r="K83" s="301">
        <v>8.5</v>
      </c>
      <c r="L83" s="301">
        <v>58</v>
      </c>
      <c r="M83" s="301">
        <v>14</v>
      </c>
      <c r="N83" s="301" t="s">
        <v>267</v>
      </c>
      <c r="O83" s="301" t="s">
        <v>267</v>
      </c>
      <c r="P83" s="302" t="s">
        <v>267</v>
      </c>
      <c r="Q83" s="303">
        <f t="shared" si="2"/>
        <v>238.5</v>
      </c>
    </row>
    <row r="84" spans="1:17" ht="14.25">
      <c r="A84" s="352" t="s">
        <v>268</v>
      </c>
      <c r="B84" s="116" t="s">
        <v>240</v>
      </c>
      <c r="C84" s="377"/>
      <c r="D84" s="380" t="s">
        <v>228</v>
      </c>
      <c r="E84" s="304">
        <v>18</v>
      </c>
      <c r="F84" s="301">
        <v>103</v>
      </c>
      <c r="G84" s="301">
        <v>240</v>
      </c>
      <c r="H84" s="301">
        <v>90</v>
      </c>
      <c r="I84" s="301">
        <v>22</v>
      </c>
      <c r="J84" s="301">
        <v>38</v>
      </c>
      <c r="K84" s="301">
        <v>41</v>
      </c>
      <c r="L84" s="301">
        <v>14</v>
      </c>
      <c r="M84" s="301">
        <v>30</v>
      </c>
      <c r="N84" s="301">
        <v>28</v>
      </c>
      <c r="O84" s="301">
        <v>44</v>
      </c>
      <c r="P84" s="302">
        <v>64</v>
      </c>
      <c r="Q84" s="303">
        <f t="shared" si="2"/>
        <v>732</v>
      </c>
    </row>
    <row r="85" spans="1:17" ht="14.25">
      <c r="A85" s="352" t="s">
        <v>269</v>
      </c>
      <c r="B85" s="116" t="s">
        <v>270</v>
      </c>
      <c r="C85" s="377"/>
      <c r="D85" s="380" t="s">
        <v>228</v>
      </c>
      <c r="E85" s="304">
        <v>72</v>
      </c>
      <c r="F85" s="301" t="s">
        <v>271</v>
      </c>
      <c r="G85" s="301">
        <v>36.6</v>
      </c>
      <c r="H85" s="301">
        <v>0.6</v>
      </c>
      <c r="I85" s="301">
        <v>22.6</v>
      </c>
      <c r="J85" s="301">
        <v>2.6</v>
      </c>
      <c r="K85" s="301">
        <v>48.6</v>
      </c>
      <c r="L85" s="301">
        <v>50.6</v>
      </c>
      <c r="M85" s="301">
        <v>108.6</v>
      </c>
      <c r="N85" s="301">
        <v>90.6</v>
      </c>
      <c r="O85" s="301">
        <v>40.6</v>
      </c>
      <c r="P85" s="302">
        <v>120</v>
      </c>
      <c r="Q85" s="303">
        <f t="shared" si="2"/>
        <v>593.4</v>
      </c>
    </row>
    <row r="86" spans="1:17" ht="14.25">
      <c r="A86" s="352" t="s">
        <v>269</v>
      </c>
      <c r="B86" s="116" t="s">
        <v>174</v>
      </c>
      <c r="C86" s="377"/>
      <c r="D86" s="380" t="s">
        <v>228</v>
      </c>
      <c r="E86" s="304">
        <v>90.9</v>
      </c>
      <c r="F86" s="301">
        <v>0.9</v>
      </c>
      <c r="G86" s="301">
        <v>2.9</v>
      </c>
      <c r="H86" s="301">
        <v>60.9</v>
      </c>
      <c r="I86" s="301">
        <v>30.9</v>
      </c>
      <c r="J86" s="301">
        <v>6.9</v>
      </c>
      <c r="K86" s="301">
        <v>30.9</v>
      </c>
      <c r="L86" s="301">
        <v>58.9</v>
      </c>
      <c r="M86" s="301">
        <v>81.9</v>
      </c>
      <c r="N86" s="301">
        <v>51.9</v>
      </c>
      <c r="O86" s="301">
        <v>0.9</v>
      </c>
      <c r="P86" s="302">
        <v>92.9</v>
      </c>
      <c r="Q86" s="303">
        <f t="shared" si="2"/>
        <v>510.79999999999995</v>
      </c>
    </row>
    <row r="87" spans="1:17" ht="14.25">
      <c r="A87" s="352" t="s">
        <v>272</v>
      </c>
      <c r="B87" s="116" t="s">
        <v>163</v>
      </c>
      <c r="C87" s="377"/>
      <c r="D87" s="380" t="s">
        <v>164</v>
      </c>
      <c r="E87" s="304" t="s">
        <v>273</v>
      </c>
      <c r="F87" s="301" t="s">
        <v>273</v>
      </c>
      <c r="G87" s="301">
        <v>59</v>
      </c>
      <c r="H87" s="301">
        <v>3</v>
      </c>
      <c r="I87" s="301" t="s">
        <v>273</v>
      </c>
      <c r="J87" s="301">
        <v>4</v>
      </c>
      <c r="K87" s="301" t="s">
        <v>273</v>
      </c>
      <c r="L87" s="301" t="s">
        <v>273</v>
      </c>
      <c r="M87" s="301" t="s">
        <v>273</v>
      </c>
      <c r="N87" s="301">
        <v>1</v>
      </c>
      <c r="O87" s="301" t="s">
        <v>273</v>
      </c>
      <c r="P87" s="302">
        <v>2</v>
      </c>
      <c r="Q87" s="303">
        <f t="shared" si="2"/>
        <v>69</v>
      </c>
    </row>
    <row r="88" spans="1:17" ht="14.25">
      <c r="A88" s="352" t="s">
        <v>274</v>
      </c>
      <c r="B88" s="116" t="s">
        <v>163</v>
      </c>
      <c r="C88" s="377"/>
      <c r="D88" s="380" t="s">
        <v>164</v>
      </c>
      <c r="E88" s="304">
        <v>41</v>
      </c>
      <c r="F88" s="301">
        <v>19</v>
      </c>
      <c r="G88" s="301" t="s">
        <v>273</v>
      </c>
      <c r="H88" s="301" t="s">
        <v>273</v>
      </c>
      <c r="I88" s="301" t="s">
        <v>273</v>
      </c>
      <c r="J88" s="301" t="s">
        <v>273</v>
      </c>
      <c r="K88" s="301" t="s">
        <v>273</v>
      </c>
      <c r="L88" s="301">
        <v>33</v>
      </c>
      <c r="M88" s="301" t="s">
        <v>273</v>
      </c>
      <c r="N88" s="301">
        <v>2</v>
      </c>
      <c r="O88" s="301">
        <v>3</v>
      </c>
      <c r="P88" s="302">
        <v>2</v>
      </c>
      <c r="Q88" s="303">
        <f t="shared" si="2"/>
        <v>100</v>
      </c>
    </row>
    <row r="89" spans="1:17" ht="14.25">
      <c r="A89" s="352" t="s">
        <v>275</v>
      </c>
      <c r="B89" s="116" t="s">
        <v>163</v>
      </c>
      <c r="C89" s="377"/>
      <c r="D89" s="380" t="s">
        <v>164</v>
      </c>
      <c r="E89" s="304" t="s">
        <v>273</v>
      </c>
      <c r="F89" s="301">
        <v>13</v>
      </c>
      <c r="G89" s="301">
        <v>14</v>
      </c>
      <c r="H89" s="301">
        <v>3</v>
      </c>
      <c r="I89" s="301" t="s">
        <v>273</v>
      </c>
      <c r="J89" s="301">
        <v>4</v>
      </c>
      <c r="K89" s="301" t="s">
        <v>273</v>
      </c>
      <c r="L89" s="301" t="s">
        <v>273</v>
      </c>
      <c r="M89" s="301" t="s">
        <v>273</v>
      </c>
      <c r="N89" s="301">
        <v>1</v>
      </c>
      <c r="O89" s="301" t="s">
        <v>273</v>
      </c>
      <c r="P89" s="302">
        <v>2</v>
      </c>
      <c r="Q89" s="303">
        <f t="shared" si="2"/>
        <v>37</v>
      </c>
    </row>
    <row r="90" spans="1:17" ht="14.25">
      <c r="A90" s="354" t="s">
        <v>276</v>
      </c>
      <c r="B90" s="116" t="s">
        <v>216</v>
      </c>
      <c r="C90" s="377"/>
      <c r="D90" s="380" t="s">
        <v>170</v>
      </c>
      <c r="E90" s="304" t="s">
        <v>277</v>
      </c>
      <c r="F90" s="301">
        <v>11.5</v>
      </c>
      <c r="G90" s="301" t="s">
        <v>277</v>
      </c>
      <c r="H90" s="301">
        <v>8</v>
      </c>
      <c r="I90" s="301">
        <v>14</v>
      </c>
      <c r="J90" s="301" t="s">
        <v>277</v>
      </c>
      <c r="K90" s="301" t="s">
        <v>277</v>
      </c>
      <c r="L90" s="301" t="s">
        <v>277</v>
      </c>
      <c r="M90" s="301">
        <v>20</v>
      </c>
      <c r="N90" s="301">
        <v>3</v>
      </c>
      <c r="O90" s="301">
        <v>1</v>
      </c>
      <c r="P90" s="302" t="s">
        <v>277</v>
      </c>
      <c r="Q90" s="303">
        <f t="shared" si="2"/>
        <v>57.5</v>
      </c>
    </row>
    <row r="91" spans="1:17" ht="14.25">
      <c r="A91" s="354" t="s">
        <v>278</v>
      </c>
      <c r="B91" s="116" t="s">
        <v>247</v>
      </c>
      <c r="C91" s="377"/>
      <c r="D91" s="380" t="s">
        <v>130</v>
      </c>
      <c r="E91" s="304" t="s">
        <v>279</v>
      </c>
      <c r="F91" s="301" t="s">
        <v>279</v>
      </c>
      <c r="G91" s="301" t="s">
        <v>279</v>
      </c>
      <c r="H91" s="301">
        <v>0.6</v>
      </c>
      <c r="I91" s="301">
        <v>0.75</v>
      </c>
      <c r="J91" s="301">
        <v>3</v>
      </c>
      <c r="K91" s="301" t="s">
        <v>279</v>
      </c>
      <c r="L91" s="301">
        <v>2.8</v>
      </c>
      <c r="M91" s="301">
        <v>0.2</v>
      </c>
      <c r="N91" s="301">
        <v>0.4</v>
      </c>
      <c r="O91" s="301" t="s">
        <v>279</v>
      </c>
      <c r="P91" s="302">
        <v>2</v>
      </c>
      <c r="Q91" s="303">
        <f t="shared" si="2"/>
        <v>9.75</v>
      </c>
    </row>
    <row r="92" spans="1:17" ht="14.25">
      <c r="A92" s="354" t="s">
        <v>280</v>
      </c>
      <c r="B92" s="116" t="s">
        <v>193</v>
      </c>
      <c r="C92" s="377"/>
      <c r="D92" s="380" t="s">
        <v>170</v>
      </c>
      <c r="E92" s="304" t="s">
        <v>277</v>
      </c>
      <c r="F92" s="301">
        <v>24.6</v>
      </c>
      <c r="G92" s="301">
        <v>41.4</v>
      </c>
      <c r="H92" s="301">
        <v>1</v>
      </c>
      <c r="I92" s="301">
        <v>1</v>
      </c>
      <c r="J92" s="301">
        <v>16</v>
      </c>
      <c r="K92" s="301">
        <v>16</v>
      </c>
      <c r="L92" s="301" t="s">
        <v>277</v>
      </c>
      <c r="M92" s="301" t="s">
        <v>277</v>
      </c>
      <c r="N92" s="301">
        <v>1.5</v>
      </c>
      <c r="O92" s="301">
        <v>1</v>
      </c>
      <c r="P92" s="302" t="s">
        <v>277</v>
      </c>
      <c r="Q92" s="303">
        <f t="shared" si="2"/>
        <v>102.5</v>
      </c>
    </row>
    <row r="93" spans="1:17" ht="14.25">
      <c r="A93" s="354" t="s">
        <v>281</v>
      </c>
      <c r="B93" s="116" t="s">
        <v>193</v>
      </c>
      <c r="C93" s="377"/>
      <c r="D93" s="380" t="s">
        <v>170</v>
      </c>
      <c r="E93" s="304">
        <v>18.6</v>
      </c>
      <c r="F93" s="301">
        <v>18.6</v>
      </c>
      <c r="G93" s="301">
        <v>18.8</v>
      </c>
      <c r="H93" s="301">
        <v>17</v>
      </c>
      <c r="I93" s="301">
        <v>17.5</v>
      </c>
      <c r="J93" s="301">
        <v>0.5</v>
      </c>
      <c r="K93" s="301" t="s">
        <v>277</v>
      </c>
      <c r="L93" s="301" t="s">
        <v>277</v>
      </c>
      <c r="M93" s="301" t="s">
        <v>277</v>
      </c>
      <c r="N93" s="301">
        <v>1.5</v>
      </c>
      <c r="O93" s="301">
        <v>1</v>
      </c>
      <c r="P93" s="302" t="s">
        <v>277</v>
      </c>
      <c r="Q93" s="303">
        <f t="shared" si="2"/>
        <v>93.5</v>
      </c>
    </row>
    <row r="94" spans="1:17" ht="14.25">
      <c r="A94" s="354" t="s">
        <v>282</v>
      </c>
      <c r="B94" s="116" t="s">
        <v>283</v>
      </c>
      <c r="C94" s="377"/>
      <c r="D94" s="380" t="s">
        <v>170</v>
      </c>
      <c r="E94" s="304">
        <v>0.72</v>
      </c>
      <c r="F94" s="301">
        <v>4.34</v>
      </c>
      <c r="G94" s="301">
        <v>4.63</v>
      </c>
      <c r="H94" s="301">
        <v>4.25</v>
      </c>
      <c r="I94" s="301">
        <v>4.1</v>
      </c>
      <c r="J94" s="301">
        <v>0.87</v>
      </c>
      <c r="K94" s="301">
        <v>0.77</v>
      </c>
      <c r="L94" s="301">
        <v>0.42</v>
      </c>
      <c r="M94" s="301" t="s">
        <v>277</v>
      </c>
      <c r="N94" s="301" t="s">
        <v>277</v>
      </c>
      <c r="O94" s="301" t="s">
        <v>277</v>
      </c>
      <c r="P94" s="302" t="s">
        <v>277</v>
      </c>
      <c r="Q94" s="303">
        <f t="shared" si="2"/>
        <v>20.1</v>
      </c>
    </row>
    <row r="95" spans="1:17" ht="14.25">
      <c r="A95" s="354" t="s">
        <v>278</v>
      </c>
      <c r="B95" s="116" t="s">
        <v>283</v>
      </c>
      <c r="C95" s="377"/>
      <c r="D95" s="380" t="s">
        <v>170</v>
      </c>
      <c r="E95" s="304">
        <v>0.95</v>
      </c>
      <c r="F95" s="301">
        <v>0.85</v>
      </c>
      <c r="G95" s="301">
        <v>0.87</v>
      </c>
      <c r="H95" s="301">
        <v>0.97</v>
      </c>
      <c r="I95" s="301">
        <v>0.95</v>
      </c>
      <c r="J95" s="301">
        <v>1</v>
      </c>
      <c r="K95" s="301">
        <v>1.25</v>
      </c>
      <c r="L95" s="301">
        <v>0.5</v>
      </c>
      <c r="M95" s="301">
        <v>2</v>
      </c>
      <c r="N95" s="301">
        <v>6.26</v>
      </c>
      <c r="O95" s="301">
        <v>4.61</v>
      </c>
      <c r="P95" s="302">
        <v>0.59</v>
      </c>
      <c r="Q95" s="303">
        <f t="shared" si="2"/>
        <v>20.8</v>
      </c>
    </row>
    <row r="96" spans="1:17" ht="14.25">
      <c r="A96" s="354" t="s">
        <v>284</v>
      </c>
      <c r="B96" s="116" t="s">
        <v>283</v>
      </c>
      <c r="C96" s="377"/>
      <c r="D96" s="380" t="s">
        <v>170</v>
      </c>
      <c r="E96" s="304">
        <v>0.56</v>
      </c>
      <c r="F96" s="301">
        <v>1.03</v>
      </c>
      <c r="G96" s="301">
        <v>1.13</v>
      </c>
      <c r="H96" s="301">
        <v>0.83</v>
      </c>
      <c r="I96" s="301">
        <v>0.3</v>
      </c>
      <c r="J96" s="301">
        <v>0.48</v>
      </c>
      <c r="K96" s="301">
        <v>0.72</v>
      </c>
      <c r="L96" s="301" t="s">
        <v>277</v>
      </c>
      <c r="M96" s="301" t="s">
        <v>277</v>
      </c>
      <c r="N96" s="301" t="s">
        <v>277</v>
      </c>
      <c r="O96" s="301" t="s">
        <v>277</v>
      </c>
      <c r="P96" s="302" t="s">
        <v>277</v>
      </c>
      <c r="Q96" s="303">
        <f t="shared" si="2"/>
        <v>5.05</v>
      </c>
    </row>
    <row r="97" spans="1:17" ht="14.25">
      <c r="A97" s="354" t="s">
        <v>285</v>
      </c>
      <c r="B97" s="116" t="s">
        <v>169</v>
      </c>
      <c r="C97" s="377"/>
      <c r="D97" s="380" t="s">
        <v>170</v>
      </c>
      <c r="E97" s="304">
        <v>0.4</v>
      </c>
      <c r="F97" s="301">
        <v>0.8</v>
      </c>
      <c r="G97" s="301">
        <v>1.2</v>
      </c>
      <c r="H97" s="301">
        <v>2.4</v>
      </c>
      <c r="I97" s="301">
        <v>1</v>
      </c>
      <c r="J97" s="301" t="s">
        <v>277</v>
      </c>
      <c r="K97" s="301">
        <v>1.2</v>
      </c>
      <c r="L97" s="301">
        <v>10.02</v>
      </c>
      <c r="M97" s="301">
        <v>12.58</v>
      </c>
      <c r="N97" s="301">
        <v>2.7</v>
      </c>
      <c r="O97" s="301">
        <v>0.5</v>
      </c>
      <c r="P97" s="302">
        <v>1.2</v>
      </c>
      <c r="Q97" s="303">
        <f t="shared" si="2"/>
        <v>34.00000000000001</v>
      </c>
    </row>
    <row r="98" spans="1:17" ht="14.25">
      <c r="A98" s="354" t="s">
        <v>286</v>
      </c>
      <c r="B98" s="116" t="s">
        <v>287</v>
      </c>
      <c r="C98" s="377"/>
      <c r="D98" s="380" t="s">
        <v>130</v>
      </c>
      <c r="E98" s="304">
        <v>2</v>
      </c>
      <c r="F98" s="301" t="s">
        <v>279</v>
      </c>
      <c r="G98" s="301">
        <v>0.5</v>
      </c>
      <c r="H98" s="301">
        <v>6.5</v>
      </c>
      <c r="I98" s="301">
        <v>6</v>
      </c>
      <c r="J98" s="301" t="s">
        <v>279</v>
      </c>
      <c r="K98" s="301" t="s">
        <v>279</v>
      </c>
      <c r="L98" s="301">
        <v>17.3</v>
      </c>
      <c r="M98" s="301">
        <v>26.4</v>
      </c>
      <c r="N98" s="301">
        <v>8.3</v>
      </c>
      <c r="O98" s="301" t="s">
        <v>279</v>
      </c>
      <c r="P98" s="302">
        <v>3</v>
      </c>
      <c r="Q98" s="303">
        <f t="shared" si="2"/>
        <v>70</v>
      </c>
    </row>
    <row r="99" spans="1:17" ht="14.25">
      <c r="A99" s="352" t="s">
        <v>272</v>
      </c>
      <c r="B99" s="116" t="s">
        <v>189</v>
      </c>
      <c r="C99" s="377"/>
      <c r="D99" s="380" t="s">
        <v>288</v>
      </c>
      <c r="E99" s="304" t="s">
        <v>289</v>
      </c>
      <c r="F99" s="301">
        <v>16.52</v>
      </c>
      <c r="G99" s="301">
        <v>16.48</v>
      </c>
      <c r="H99" s="301">
        <v>13.65</v>
      </c>
      <c r="I99" s="301">
        <v>5.6</v>
      </c>
      <c r="J99" s="301">
        <v>0.75</v>
      </c>
      <c r="K99" s="301" t="s">
        <v>289</v>
      </c>
      <c r="L99" s="301" t="s">
        <v>289</v>
      </c>
      <c r="M99" s="301" t="s">
        <v>289</v>
      </c>
      <c r="N99" s="301">
        <v>2</v>
      </c>
      <c r="O99" s="301" t="s">
        <v>289</v>
      </c>
      <c r="P99" s="302" t="s">
        <v>289</v>
      </c>
      <c r="Q99" s="303">
        <f t="shared" si="2"/>
        <v>55</v>
      </c>
    </row>
    <row r="100" spans="1:17" ht="14.25">
      <c r="A100" s="352" t="s">
        <v>272</v>
      </c>
      <c r="B100" s="116" t="s">
        <v>115</v>
      </c>
      <c r="C100" s="377"/>
      <c r="D100" s="380" t="s">
        <v>228</v>
      </c>
      <c r="E100" s="304">
        <v>1</v>
      </c>
      <c r="F100" s="301">
        <v>8.67</v>
      </c>
      <c r="G100" s="301">
        <v>1</v>
      </c>
      <c r="H100" s="301">
        <v>1.17</v>
      </c>
      <c r="I100" s="301" t="s">
        <v>271</v>
      </c>
      <c r="J100" s="301">
        <v>3</v>
      </c>
      <c r="K100" s="301" t="s">
        <v>271</v>
      </c>
      <c r="L100" s="301" t="s">
        <v>271</v>
      </c>
      <c r="M100" s="301" t="s">
        <v>271</v>
      </c>
      <c r="N100" s="301" t="s">
        <v>271</v>
      </c>
      <c r="O100" s="301">
        <v>1</v>
      </c>
      <c r="P100" s="302" t="s">
        <v>271</v>
      </c>
      <c r="Q100" s="303">
        <f t="shared" si="2"/>
        <v>15.84</v>
      </c>
    </row>
    <row r="101" spans="1:17" ht="14.25">
      <c r="A101" s="352" t="s">
        <v>274</v>
      </c>
      <c r="B101" s="116" t="s">
        <v>115</v>
      </c>
      <c r="C101" s="377"/>
      <c r="D101" s="380" t="s">
        <v>228</v>
      </c>
      <c r="E101" s="304">
        <v>0</v>
      </c>
      <c r="F101" s="301">
        <v>0</v>
      </c>
      <c r="G101" s="301">
        <v>1.5</v>
      </c>
      <c r="H101" s="301">
        <v>3</v>
      </c>
      <c r="I101" s="301">
        <v>0.92</v>
      </c>
      <c r="J101" s="301">
        <v>0</v>
      </c>
      <c r="K101" s="301">
        <v>2</v>
      </c>
      <c r="L101" s="301">
        <v>8.996</v>
      </c>
      <c r="M101" s="301">
        <v>1</v>
      </c>
      <c r="N101" s="301">
        <v>0</v>
      </c>
      <c r="O101" s="301">
        <v>1.5</v>
      </c>
      <c r="P101" s="302">
        <v>0</v>
      </c>
      <c r="Q101" s="303">
        <f t="shared" si="2"/>
        <v>18.916</v>
      </c>
    </row>
    <row r="102" spans="1:17" ht="14.25">
      <c r="A102" s="352" t="s">
        <v>290</v>
      </c>
      <c r="B102" s="116" t="s">
        <v>291</v>
      </c>
      <c r="C102" s="377"/>
      <c r="D102" s="380" t="s">
        <v>228</v>
      </c>
      <c r="E102" s="304">
        <v>6</v>
      </c>
      <c r="F102" s="301">
        <v>10</v>
      </c>
      <c r="G102" s="301">
        <v>10</v>
      </c>
      <c r="H102" s="301">
        <v>1</v>
      </c>
      <c r="I102" s="301">
        <v>1</v>
      </c>
      <c r="J102" s="301">
        <v>6</v>
      </c>
      <c r="K102" s="301" t="s">
        <v>271</v>
      </c>
      <c r="L102" s="301" t="s">
        <v>271</v>
      </c>
      <c r="M102" s="301" t="s">
        <v>271</v>
      </c>
      <c r="N102" s="301" t="s">
        <v>271</v>
      </c>
      <c r="O102" s="301" t="s">
        <v>271</v>
      </c>
      <c r="P102" s="302" t="s">
        <v>271</v>
      </c>
      <c r="Q102" s="303">
        <f t="shared" si="2"/>
        <v>34</v>
      </c>
    </row>
    <row r="103" spans="1:17" ht="14.25">
      <c r="A103" s="352" t="s">
        <v>292</v>
      </c>
      <c r="B103" s="116" t="s">
        <v>293</v>
      </c>
      <c r="C103" s="377"/>
      <c r="D103" s="380" t="s">
        <v>294</v>
      </c>
      <c r="E103" s="304" t="s">
        <v>295</v>
      </c>
      <c r="F103" s="301">
        <v>25</v>
      </c>
      <c r="G103" s="301">
        <v>2</v>
      </c>
      <c r="H103" s="301">
        <v>1</v>
      </c>
      <c r="I103" s="301">
        <v>24</v>
      </c>
      <c r="J103" s="301">
        <v>228.5</v>
      </c>
      <c r="K103" s="301">
        <v>89.5</v>
      </c>
      <c r="L103" s="301">
        <v>43</v>
      </c>
      <c r="M103" s="301">
        <v>0.5</v>
      </c>
      <c r="N103" s="301">
        <v>21</v>
      </c>
      <c r="O103" s="301">
        <v>120</v>
      </c>
      <c r="P103" s="302">
        <v>24</v>
      </c>
      <c r="Q103" s="303">
        <f t="shared" si="2"/>
        <v>578.5</v>
      </c>
    </row>
    <row r="104" spans="1:17" ht="14.25">
      <c r="A104" s="352" t="s">
        <v>296</v>
      </c>
      <c r="B104" s="116" t="s">
        <v>189</v>
      </c>
      <c r="C104" s="377"/>
      <c r="D104" s="380" t="s">
        <v>228</v>
      </c>
      <c r="E104" s="304">
        <v>0.5</v>
      </c>
      <c r="F104" s="301">
        <v>15</v>
      </c>
      <c r="G104" s="301">
        <v>4</v>
      </c>
      <c r="H104" s="301" t="s">
        <v>271</v>
      </c>
      <c r="I104" s="301">
        <v>3</v>
      </c>
      <c r="J104" s="301">
        <v>17.5</v>
      </c>
      <c r="K104" s="301">
        <v>49.5</v>
      </c>
      <c r="L104" s="301" t="s">
        <v>271</v>
      </c>
      <c r="M104" s="301" t="s">
        <v>271</v>
      </c>
      <c r="N104" s="301" t="s">
        <v>271</v>
      </c>
      <c r="O104" s="301" t="s">
        <v>271</v>
      </c>
      <c r="P104" s="302" t="s">
        <v>271</v>
      </c>
      <c r="Q104" s="303">
        <f aca="true" t="shared" si="3" ref="Q104:Q125">SUM(E104:P104)</f>
        <v>89.5</v>
      </c>
    </row>
    <row r="105" spans="1:17" ht="14.25">
      <c r="A105" s="352" t="s">
        <v>297</v>
      </c>
      <c r="B105" s="116" t="s">
        <v>115</v>
      </c>
      <c r="C105" s="377"/>
      <c r="D105" s="380" t="s">
        <v>228</v>
      </c>
      <c r="E105" s="304">
        <v>2</v>
      </c>
      <c r="F105" s="301">
        <v>4.73</v>
      </c>
      <c r="G105" s="301" t="s">
        <v>271</v>
      </c>
      <c r="H105" s="301" t="s">
        <v>271</v>
      </c>
      <c r="I105" s="301">
        <v>23.8</v>
      </c>
      <c r="J105" s="301" t="s">
        <v>271</v>
      </c>
      <c r="K105" s="301" t="s">
        <v>271</v>
      </c>
      <c r="L105" s="301" t="s">
        <v>271</v>
      </c>
      <c r="M105" s="301" t="s">
        <v>271</v>
      </c>
      <c r="N105" s="301" t="s">
        <v>271</v>
      </c>
      <c r="O105" s="301" t="s">
        <v>271</v>
      </c>
      <c r="P105" s="302" t="s">
        <v>271</v>
      </c>
      <c r="Q105" s="303">
        <f t="shared" si="3"/>
        <v>30.53</v>
      </c>
    </row>
    <row r="106" spans="1:17" ht="14.25">
      <c r="A106" s="354" t="s">
        <v>298</v>
      </c>
      <c r="B106" s="116" t="s">
        <v>115</v>
      </c>
      <c r="C106" s="377"/>
      <c r="D106" s="380" t="s">
        <v>228</v>
      </c>
      <c r="E106" s="304" t="s">
        <v>271</v>
      </c>
      <c r="F106" s="301" t="s">
        <v>271</v>
      </c>
      <c r="G106" s="301" t="s">
        <v>271</v>
      </c>
      <c r="H106" s="301">
        <v>2.2</v>
      </c>
      <c r="I106" s="301">
        <v>1.2</v>
      </c>
      <c r="J106" s="301" t="s">
        <v>271</v>
      </c>
      <c r="K106" s="301">
        <v>1.2</v>
      </c>
      <c r="L106" s="301" t="s">
        <v>271</v>
      </c>
      <c r="M106" s="301">
        <v>1.2</v>
      </c>
      <c r="N106" s="301">
        <v>1.2</v>
      </c>
      <c r="O106" s="301" t="s">
        <v>271</v>
      </c>
      <c r="P106" s="302">
        <v>1.7</v>
      </c>
      <c r="Q106" s="303">
        <f t="shared" si="3"/>
        <v>8.700000000000001</v>
      </c>
    </row>
    <row r="107" spans="1:17" ht="14.25">
      <c r="A107" s="354" t="s">
        <v>299</v>
      </c>
      <c r="B107" s="116" t="s">
        <v>115</v>
      </c>
      <c r="C107" s="377"/>
      <c r="D107" s="380" t="s">
        <v>228</v>
      </c>
      <c r="E107" s="304" t="s">
        <v>271</v>
      </c>
      <c r="F107" s="301" t="s">
        <v>271</v>
      </c>
      <c r="G107" s="301">
        <v>2.2</v>
      </c>
      <c r="H107" s="301" t="s">
        <v>271</v>
      </c>
      <c r="I107" s="301">
        <v>1.2</v>
      </c>
      <c r="J107" s="301">
        <v>1.2</v>
      </c>
      <c r="K107" s="301" t="s">
        <v>271</v>
      </c>
      <c r="L107" s="301">
        <v>1.2</v>
      </c>
      <c r="M107" s="301" t="s">
        <v>271</v>
      </c>
      <c r="N107" s="301">
        <v>1.2</v>
      </c>
      <c r="O107" s="301" t="s">
        <v>271</v>
      </c>
      <c r="P107" s="302">
        <v>1.7</v>
      </c>
      <c r="Q107" s="303">
        <f t="shared" si="3"/>
        <v>8.700000000000001</v>
      </c>
    </row>
    <row r="108" spans="1:17" ht="14.25">
      <c r="A108" s="352" t="s">
        <v>572</v>
      </c>
      <c r="B108" s="116" t="s">
        <v>324</v>
      </c>
      <c r="C108" s="377"/>
      <c r="D108" s="380" t="s">
        <v>315</v>
      </c>
      <c r="E108" s="304">
        <v>11</v>
      </c>
      <c r="F108" s="301">
        <v>13.9</v>
      </c>
      <c r="G108" s="301">
        <v>6</v>
      </c>
      <c r="H108" s="301">
        <v>26.9</v>
      </c>
      <c r="I108" s="301">
        <v>34</v>
      </c>
      <c r="J108" s="301">
        <v>38.6</v>
      </c>
      <c r="K108" s="301">
        <v>4.5</v>
      </c>
      <c r="L108" s="301">
        <v>0</v>
      </c>
      <c r="M108" s="301">
        <v>0</v>
      </c>
      <c r="N108" s="301">
        <v>0</v>
      </c>
      <c r="O108" s="301">
        <v>1</v>
      </c>
      <c r="P108" s="302">
        <v>5</v>
      </c>
      <c r="Q108" s="303">
        <f t="shared" si="3"/>
        <v>140.9</v>
      </c>
    </row>
    <row r="109" spans="1:18" ht="14.25">
      <c r="A109" s="352"/>
      <c r="B109" s="116"/>
      <c r="C109" s="377"/>
      <c r="D109" s="380"/>
      <c r="E109" s="304">
        <v>11</v>
      </c>
      <c r="F109" s="301">
        <v>13.9</v>
      </c>
      <c r="G109" s="301">
        <v>6</v>
      </c>
      <c r="H109" s="301">
        <v>22.2</v>
      </c>
      <c r="I109" s="301">
        <v>23.9</v>
      </c>
      <c r="J109" s="301">
        <v>24.4</v>
      </c>
      <c r="K109" s="301">
        <v>4.5</v>
      </c>
      <c r="L109" s="301">
        <v>0</v>
      </c>
      <c r="M109" s="301">
        <v>0</v>
      </c>
      <c r="N109" s="301">
        <v>0</v>
      </c>
      <c r="O109" s="301">
        <v>1</v>
      </c>
      <c r="P109" s="302">
        <v>5</v>
      </c>
      <c r="Q109" s="303">
        <f>SUM(E109:P109)</f>
        <v>111.9</v>
      </c>
      <c r="R109" s="20" t="s">
        <v>644</v>
      </c>
    </row>
    <row r="110" spans="1:17" ht="14.25">
      <c r="A110" s="352"/>
      <c r="B110" s="116"/>
      <c r="C110" s="377"/>
      <c r="D110" s="380"/>
      <c r="E110" s="304">
        <v>11</v>
      </c>
      <c r="F110" s="301">
        <v>13.9</v>
      </c>
      <c r="G110" s="301">
        <v>6</v>
      </c>
      <c r="H110" s="301">
        <v>26.9</v>
      </c>
      <c r="I110" s="301">
        <v>34</v>
      </c>
      <c r="J110" s="301">
        <v>38.6</v>
      </c>
      <c r="K110" s="301">
        <v>4.5</v>
      </c>
      <c r="L110" s="301">
        <v>0</v>
      </c>
      <c r="M110" s="301">
        <v>0</v>
      </c>
      <c r="N110" s="301">
        <v>0</v>
      </c>
      <c r="O110" s="301">
        <v>1</v>
      </c>
      <c r="P110" s="302">
        <v>5</v>
      </c>
      <c r="Q110" s="303">
        <f>SUM(E110:P110)</f>
        <v>140.9</v>
      </c>
    </row>
    <row r="111" spans="1:17" ht="14.25">
      <c r="A111" s="352" t="s">
        <v>290</v>
      </c>
      <c r="B111" s="116" t="s">
        <v>291</v>
      </c>
      <c r="C111" s="377"/>
      <c r="D111" s="380" t="s">
        <v>228</v>
      </c>
      <c r="E111" s="304"/>
      <c r="F111" s="301"/>
      <c r="G111" s="301"/>
      <c r="H111" s="301"/>
      <c r="I111" s="301"/>
      <c r="J111" s="301"/>
      <c r="K111" s="301"/>
      <c r="L111" s="301"/>
      <c r="M111" s="301"/>
      <c r="N111" s="301"/>
      <c r="O111" s="301"/>
      <c r="P111" s="302"/>
      <c r="Q111" s="303">
        <f t="shared" si="3"/>
        <v>0</v>
      </c>
    </row>
    <row r="112" spans="1:17" ht="14.25">
      <c r="A112" s="352" t="s">
        <v>300</v>
      </c>
      <c r="B112" s="116" t="s">
        <v>293</v>
      </c>
      <c r="C112" s="377"/>
      <c r="D112" s="380" t="s">
        <v>294</v>
      </c>
      <c r="E112" s="304"/>
      <c r="F112" s="301"/>
      <c r="G112" s="301"/>
      <c r="H112" s="301"/>
      <c r="I112" s="301"/>
      <c r="J112" s="301"/>
      <c r="K112" s="301"/>
      <c r="L112" s="301"/>
      <c r="M112" s="301"/>
      <c r="N112" s="301"/>
      <c r="O112" s="301"/>
      <c r="P112" s="302"/>
      <c r="Q112" s="303">
        <f t="shared" si="3"/>
        <v>0</v>
      </c>
    </row>
    <row r="113" spans="1:17" ht="14.25">
      <c r="A113" s="352" t="s">
        <v>296</v>
      </c>
      <c r="B113" s="116" t="s">
        <v>189</v>
      </c>
      <c r="C113" s="377"/>
      <c r="D113" s="380" t="s">
        <v>1</v>
      </c>
      <c r="E113" s="304"/>
      <c r="F113" s="301"/>
      <c r="G113" s="301"/>
      <c r="H113" s="301"/>
      <c r="I113" s="301"/>
      <c r="J113" s="301"/>
      <c r="K113" s="301"/>
      <c r="L113" s="301"/>
      <c r="M113" s="301"/>
      <c r="N113" s="301"/>
      <c r="O113" s="301"/>
      <c r="P113" s="302"/>
      <c r="Q113" s="303">
        <f t="shared" si="3"/>
        <v>0</v>
      </c>
    </row>
    <row r="114" spans="1:17" ht="14.25">
      <c r="A114" s="352" t="s">
        <v>301</v>
      </c>
      <c r="B114" s="116" t="s">
        <v>115</v>
      </c>
      <c r="C114" s="377"/>
      <c r="D114" s="380" t="s">
        <v>1</v>
      </c>
      <c r="E114" s="304"/>
      <c r="F114" s="301"/>
      <c r="G114" s="301"/>
      <c r="H114" s="301"/>
      <c r="I114" s="301"/>
      <c r="J114" s="301"/>
      <c r="K114" s="301"/>
      <c r="L114" s="301"/>
      <c r="M114" s="301"/>
      <c r="N114" s="301"/>
      <c r="O114" s="301"/>
      <c r="P114" s="302"/>
      <c r="Q114" s="303">
        <f t="shared" si="3"/>
        <v>0</v>
      </c>
    </row>
    <row r="115" spans="1:17" ht="14.25">
      <c r="A115" s="354" t="s">
        <v>298</v>
      </c>
      <c r="B115" s="116" t="s">
        <v>115</v>
      </c>
      <c r="C115" s="377"/>
      <c r="D115" s="380" t="s">
        <v>1</v>
      </c>
      <c r="E115" s="304"/>
      <c r="F115" s="301"/>
      <c r="G115" s="301"/>
      <c r="H115" s="301"/>
      <c r="I115" s="301"/>
      <c r="J115" s="301"/>
      <c r="K115" s="301"/>
      <c r="L115" s="301"/>
      <c r="M115" s="301"/>
      <c r="N115" s="301"/>
      <c r="O115" s="301"/>
      <c r="P115" s="302"/>
      <c r="Q115" s="303">
        <f t="shared" si="3"/>
        <v>0</v>
      </c>
    </row>
    <row r="116" spans="1:17" ht="14.25">
      <c r="A116" s="354" t="s">
        <v>299</v>
      </c>
      <c r="B116" s="116" t="s">
        <v>115</v>
      </c>
      <c r="C116" s="377"/>
      <c r="D116" s="380" t="s">
        <v>1</v>
      </c>
      <c r="E116" s="304"/>
      <c r="F116" s="301"/>
      <c r="G116" s="301"/>
      <c r="H116" s="301"/>
      <c r="I116" s="301"/>
      <c r="J116" s="301"/>
      <c r="K116" s="301"/>
      <c r="L116" s="301"/>
      <c r="M116" s="301"/>
      <c r="N116" s="301"/>
      <c r="O116" s="301"/>
      <c r="P116" s="302"/>
      <c r="Q116" s="303">
        <f t="shared" si="3"/>
        <v>0</v>
      </c>
    </row>
    <row r="117" spans="1:17" ht="14.25">
      <c r="A117" s="354" t="s">
        <v>302</v>
      </c>
      <c r="B117" s="116" t="s">
        <v>303</v>
      </c>
      <c r="C117" s="377"/>
      <c r="D117" s="380" t="s">
        <v>1</v>
      </c>
      <c r="E117" s="304"/>
      <c r="F117" s="301"/>
      <c r="G117" s="301"/>
      <c r="H117" s="301"/>
      <c r="I117" s="301"/>
      <c r="J117" s="301"/>
      <c r="K117" s="301"/>
      <c r="L117" s="301"/>
      <c r="M117" s="301"/>
      <c r="N117" s="301"/>
      <c r="O117" s="301"/>
      <c r="P117" s="302"/>
      <c r="Q117" s="303">
        <f t="shared" si="3"/>
        <v>0</v>
      </c>
    </row>
    <row r="118" spans="1:17" ht="14.25">
      <c r="A118" s="354" t="s">
        <v>304</v>
      </c>
      <c r="B118" s="116" t="s">
        <v>303</v>
      </c>
      <c r="C118" s="377"/>
      <c r="D118" s="380" t="s">
        <v>1</v>
      </c>
      <c r="E118" s="304"/>
      <c r="F118" s="301"/>
      <c r="G118" s="301"/>
      <c r="H118" s="301"/>
      <c r="I118" s="301"/>
      <c r="J118" s="301"/>
      <c r="K118" s="301"/>
      <c r="L118" s="301"/>
      <c r="M118" s="301"/>
      <c r="N118" s="301"/>
      <c r="O118" s="301"/>
      <c r="P118" s="302"/>
      <c r="Q118" s="303">
        <f t="shared" si="3"/>
        <v>0</v>
      </c>
    </row>
    <row r="119" spans="1:17" ht="14.25">
      <c r="A119" s="354" t="s">
        <v>305</v>
      </c>
      <c r="B119" s="116" t="s">
        <v>303</v>
      </c>
      <c r="C119" s="377"/>
      <c r="D119" s="380" t="s">
        <v>228</v>
      </c>
      <c r="E119" s="304"/>
      <c r="F119" s="301"/>
      <c r="G119" s="301"/>
      <c r="H119" s="301"/>
      <c r="I119" s="301"/>
      <c r="J119" s="301"/>
      <c r="K119" s="301"/>
      <c r="L119" s="301"/>
      <c r="M119" s="301"/>
      <c r="N119" s="301"/>
      <c r="O119" s="301"/>
      <c r="P119" s="302"/>
      <c r="Q119" s="303">
        <f t="shared" si="3"/>
        <v>0</v>
      </c>
    </row>
    <row r="120" spans="1:17" ht="14.25">
      <c r="A120" s="354" t="s">
        <v>306</v>
      </c>
      <c r="B120" s="116" t="s">
        <v>303</v>
      </c>
      <c r="C120" s="377"/>
      <c r="D120" s="380" t="s">
        <v>228</v>
      </c>
      <c r="E120" s="304"/>
      <c r="F120" s="301"/>
      <c r="G120" s="301"/>
      <c r="H120" s="301"/>
      <c r="I120" s="301"/>
      <c r="J120" s="301"/>
      <c r="K120" s="301"/>
      <c r="L120" s="301"/>
      <c r="M120" s="301"/>
      <c r="N120" s="301"/>
      <c r="O120" s="301"/>
      <c r="P120" s="302"/>
      <c r="Q120" s="303">
        <f t="shared" si="3"/>
        <v>0</v>
      </c>
    </row>
    <row r="121" spans="1:17" ht="14.25">
      <c r="A121" s="354" t="s">
        <v>307</v>
      </c>
      <c r="B121" s="116" t="s">
        <v>303</v>
      </c>
      <c r="C121" s="377"/>
      <c r="D121" s="380" t="s">
        <v>1</v>
      </c>
      <c r="E121" s="304"/>
      <c r="F121" s="301"/>
      <c r="G121" s="301"/>
      <c r="H121" s="301"/>
      <c r="I121" s="301"/>
      <c r="J121" s="301"/>
      <c r="K121" s="301"/>
      <c r="L121" s="301"/>
      <c r="M121" s="301"/>
      <c r="N121" s="301"/>
      <c r="O121" s="301"/>
      <c r="P121" s="302"/>
      <c r="Q121" s="303">
        <f t="shared" si="3"/>
        <v>0</v>
      </c>
    </row>
    <row r="122" spans="1:17" ht="14.25">
      <c r="A122" s="354" t="s">
        <v>308</v>
      </c>
      <c r="B122" s="116" t="s">
        <v>303</v>
      </c>
      <c r="C122" s="377"/>
      <c r="D122" s="380" t="s">
        <v>1</v>
      </c>
      <c r="E122" s="304"/>
      <c r="F122" s="301"/>
      <c r="G122" s="301"/>
      <c r="H122" s="301"/>
      <c r="I122" s="301"/>
      <c r="J122" s="301"/>
      <c r="K122" s="301"/>
      <c r="L122" s="301"/>
      <c r="M122" s="301"/>
      <c r="N122" s="301"/>
      <c r="O122" s="301"/>
      <c r="P122" s="302"/>
      <c r="Q122" s="303">
        <f t="shared" si="3"/>
        <v>0</v>
      </c>
    </row>
    <row r="123" spans="1:17" ht="14.25">
      <c r="A123" s="354" t="s">
        <v>309</v>
      </c>
      <c r="B123" s="116" t="s">
        <v>303</v>
      </c>
      <c r="C123" s="377"/>
      <c r="D123" s="380" t="s">
        <v>228</v>
      </c>
      <c r="E123" s="304"/>
      <c r="F123" s="301"/>
      <c r="G123" s="301"/>
      <c r="H123" s="301"/>
      <c r="I123" s="301"/>
      <c r="J123" s="301"/>
      <c r="K123" s="301"/>
      <c r="L123" s="301"/>
      <c r="M123" s="301"/>
      <c r="N123" s="301"/>
      <c r="O123" s="301"/>
      <c r="P123" s="302"/>
      <c r="Q123" s="303">
        <f t="shared" si="3"/>
        <v>0</v>
      </c>
    </row>
    <row r="124" spans="1:17" ht="14.25">
      <c r="A124" s="353" t="s">
        <v>310</v>
      </c>
      <c r="B124" s="116" t="s">
        <v>303</v>
      </c>
      <c r="C124" s="377"/>
      <c r="D124" s="380" t="s">
        <v>228</v>
      </c>
      <c r="E124" s="304"/>
      <c r="F124" s="301"/>
      <c r="G124" s="301"/>
      <c r="H124" s="301"/>
      <c r="I124" s="301"/>
      <c r="J124" s="301"/>
      <c r="K124" s="301"/>
      <c r="L124" s="301"/>
      <c r="M124" s="301"/>
      <c r="N124" s="301"/>
      <c r="O124" s="301"/>
      <c r="P124" s="302"/>
      <c r="Q124" s="424">
        <f t="shared" si="3"/>
        <v>0</v>
      </c>
    </row>
    <row r="125" spans="1:18" ht="14.25">
      <c r="A125" s="422" t="s">
        <v>618</v>
      </c>
      <c r="B125" s="116" t="s">
        <v>617</v>
      </c>
      <c r="C125" s="377">
        <v>10</v>
      </c>
      <c r="D125" s="415" t="s">
        <v>234</v>
      </c>
      <c r="E125" s="304">
        <v>76.5</v>
      </c>
      <c r="F125" s="301">
        <v>75</v>
      </c>
      <c r="G125" s="301">
        <v>76</v>
      </c>
      <c r="H125" s="301">
        <v>41.5</v>
      </c>
      <c r="I125" s="301">
        <v>12.5</v>
      </c>
      <c r="J125" s="301">
        <v>6.5</v>
      </c>
      <c r="K125" s="301">
        <v>48.5</v>
      </c>
      <c r="L125" s="301">
        <v>108</v>
      </c>
      <c r="M125" s="301">
        <v>109</v>
      </c>
      <c r="N125" s="301">
        <v>6</v>
      </c>
      <c r="O125" s="301">
        <v>5.5</v>
      </c>
      <c r="P125" s="428">
        <v>39</v>
      </c>
      <c r="Q125" s="426">
        <f t="shared" si="3"/>
        <v>604</v>
      </c>
      <c r="R125" s="20" t="s">
        <v>628</v>
      </c>
    </row>
    <row r="126" spans="1:18" ht="14.25">
      <c r="A126" s="423" t="s">
        <v>619</v>
      </c>
      <c r="B126" s="116" t="s">
        <v>617</v>
      </c>
      <c r="C126" s="377">
        <v>10</v>
      </c>
      <c r="D126" s="415" t="s">
        <v>1</v>
      </c>
      <c r="E126" s="304">
        <v>70.9</v>
      </c>
      <c r="F126" s="301">
        <v>4</v>
      </c>
      <c r="G126" s="301">
        <v>5</v>
      </c>
      <c r="H126" s="301">
        <v>3</v>
      </c>
      <c r="I126" s="301">
        <v>2.5</v>
      </c>
      <c r="J126" s="301">
        <v>26.5</v>
      </c>
      <c r="K126" s="301">
        <v>50.5</v>
      </c>
      <c r="L126" s="301">
        <v>77.5</v>
      </c>
      <c r="M126" s="301">
        <v>70.3</v>
      </c>
      <c r="N126" s="301">
        <v>1.8</v>
      </c>
      <c r="O126" s="301">
        <v>1.3</v>
      </c>
      <c r="P126" s="428">
        <v>66.5</v>
      </c>
      <c r="Q126" s="427">
        <f aca="true" t="shared" si="4" ref="Q126:Q133">SUM(E126:P126)</f>
        <v>379.8</v>
      </c>
      <c r="R126" s="20" t="s">
        <v>628</v>
      </c>
    </row>
    <row r="127" spans="1:18" ht="14.25">
      <c r="A127" s="423" t="s">
        <v>620</v>
      </c>
      <c r="B127" s="116" t="s">
        <v>329</v>
      </c>
      <c r="C127" s="377">
        <v>10</v>
      </c>
      <c r="D127" s="415" t="s">
        <v>1</v>
      </c>
      <c r="E127" s="420">
        <v>95</v>
      </c>
      <c r="F127" s="301">
        <v>96.1</v>
      </c>
      <c r="G127" s="301">
        <v>109.5</v>
      </c>
      <c r="H127" s="301">
        <v>117.8</v>
      </c>
      <c r="I127" s="301">
        <v>125.4</v>
      </c>
      <c r="J127" s="301">
        <v>77.5</v>
      </c>
      <c r="K127" s="301">
        <v>1.3</v>
      </c>
      <c r="L127" s="301">
        <v>28.9</v>
      </c>
      <c r="M127" s="301">
        <v>1.3</v>
      </c>
      <c r="N127" s="301">
        <v>93.9</v>
      </c>
      <c r="O127" s="301">
        <v>28.7</v>
      </c>
      <c r="P127" s="428">
        <v>81.1</v>
      </c>
      <c r="Q127" s="427">
        <f>SUM(E127:P127)</f>
        <v>856.5</v>
      </c>
      <c r="R127" s="20" t="s">
        <v>628</v>
      </c>
    </row>
    <row r="128" spans="1:18" ht="14.25">
      <c r="A128" s="423" t="s">
        <v>624</v>
      </c>
      <c r="B128" s="116" t="s">
        <v>622</v>
      </c>
      <c r="C128" s="377">
        <v>10</v>
      </c>
      <c r="D128" s="380" t="s">
        <v>1</v>
      </c>
      <c r="E128" s="304">
        <v>27</v>
      </c>
      <c r="F128" s="301">
        <v>3</v>
      </c>
      <c r="G128" s="301"/>
      <c r="H128" s="301"/>
      <c r="I128" s="301"/>
      <c r="J128" s="301"/>
      <c r="K128" s="301"/>
      <c r="L128" s="301">
        <v>2.5</v>
      </c>
      <c r="M128" s="301">
        <v>6</v>
      </c>
      <c r="N128" s="301">
        <v>27.5</v>
      </c>
      <c r="O128" s="301">
        <v>42.8</v>
      </c>
      <c r="P128" s="428">
        <v>6.6</v>
      </c>
      <c r="Q128" s="427">
        <f t="shared" si="4"/>
        <v>115.39999999999999</v>
      </c>
      <c r="R128" s="20" t="s">
        <v>628</v>
      </c>
    </row>
    <row r="129" spans="1:18" ht="14.25">
      <c r="A129" s="423" t="s">
        <v>623</v>
      </c>
      <c r="B129" s="116" t="s">
        <v>617</v>
      </c>
      <c r="C129" s="377">
        <v>10</v>
      </c>
      <c r="D129" s="380" t="s">
        <v>1</v>
      </c>
      <c r="E129" s="304">
        <v>130.4</v>
      </c>
      <c r="F129" s="301">
        <v>105</v>
      </c>
      <c r="G129" s="301">
        <v>110.5</v>
      </c>
      <c r="H129" s="301">
        <v>251</v>
      </c>
      <c r="I129" s="301">
        <v>144</v>
      </c>
      <c r="J129" s="301">
        <v>39.5</v>
      </c>
      <c r="K129" s="301">
        <v>61.2</v>
      </c>
      <c r="L129" s="301">
        <v>32</v>
      </c>
      <c r="M129" s="301">
        <v>2.5</v>
      </c>
      <c r="N129" s="301">
        <v>79.5</v>
      </c>
      <c r="O129" s="301">
        <v>238.4</v>
      </c>
      <c r="P129" s="428">
        <v>180.1</v>
      </c>
      <c r="Q129" s="427">
        <f t="shared" si="4"/>
        <v>1374.1</v>
      </c>
      <c r="R129" s="20" t="s">
        <v>628</v>
      </c>
    </row>
    <row r="130" spans="1:18" ht="14.25">
      <c r="A130" s="423" t="s">
        <v>623</v>
      </c>
      <c r="B130" s="116" t="s">
        <v>625</v>
      </c>
      <c r="C130" s="377">
        <v>10</v>
      </c>
      <c r="D130" s="421" t="s">
        <v>1</v>
      </c>
      <c r="E130" s="420">
        <v>28.3</v>
      </c>
      <c r="F130" s="301">
        <v>18.9</v>
      </c>
      <c r="G130" s="301">
        <v>53.3</v>
      </c>
      <c r="H130" s="301">
        <v>361.3</v>
      </c>
      <c r="I130" s="301">
        <v>144.4</v>
      </c>
      <c r="J130" s="301"/>
      <c r="K130" s="301">
        <v>18.6</v>
      </c>
      <c r="L130" s="301">
        <v>13.3</v>
      </c>
      <c r="M130" s="301">
        <v>23.7</v>
      </c>
      <c r="N130" s="301">
        <v>44.8</v>
      </c>
      <c r="O130" s="301">
        <v>71.4</v>
      </c>
      <c r="P130" s="428">
        <v>28</v>
      </c>
      <c r="Q130" s="427">
        <f t="shared" si="4"/>
        <v>806</v>
      </c>
      <c r="R130" s="20" t="s">
        <v>628</v>
      </c>
    </row>
    <row r="131" spans="1:18" ht="14.25">
      <c r="A131" s="423" t="s">
        <v>626</v>
      </c>
      <c r="B131" s="116" t="s">
        <v>617</v>
      </c>
      <c r="C131" s="377">
        <v>10</v>
      </c>
      <c r="D131" s="380" t="s">
        <v>1</v>
      </c>
      <c r="E131" s="304">
        <v>20.8</v>
      </c>
      <c r="F131" s="301">
        <v>26.5</v>
      </c>
      <c r="G131" s="301">
        <v>24</v>
      </c>
      <c r="H131" s="301">
        <v>30.2</v>
      </c>
      <c r="I131" s="301">
        <v>47.9</v>
      </c>
      <c r="J131" s="301">
        <v>77.4</v>
      </c>
      <c r="K131" s="301">
        <v>92.4</v>
      </c>
      <c r="L131" s="301">
        <v>60.9</v>
      </c>
      <c r="M131" s="301">
        <v>102.6</v>
      </c>
      <c r="N131" s="301">
        <v>34.7</v>
      </c>
      <c r="O131" s="301">
        <v>40.2</v>
      </c>
      <c r="P131" s="428">
        <v>19.5</v>
      </c>
      <c r="Q131" s="427">
        <f t="shared" si="4"/>
        <v>577.1000000000001</v>
      </c>
      <c r="R131" s="20" t="s">
        <v>628</v>
      </c>
    </row>
    <row r="132" spans="1:18" ht="14.25">
      <c r="A132" s="423" t="s">
        <v>627</v>
      </c>
      <c r="B132" s="116" t="s">
        <v>625</v>
      </c>
      <c r="C132" s="377">
        <v>10</v>
      </c>
      <c r="D132" s="380" t="s">
        <v>1</v>
      </c>
      <c r="E132" s="304"/>
      <c r="F132" s="301"/>
      <c r="G132" s="301">
        <v>1.5</v>
      </c>
      <c r="H132" s="301">
        <v>10.5</v>
      </c>
      <c r="I132" s="301"/>
      <c r="J132" s="301"/>
      <c r="K132" s="301"/>
      <c r="L132" s="301"/>
      <c r="M132" s="301"/>
      <c r="N132" s="301">
        <v>13.7</v>
      </c>
      <c r="O132" s="301"/>
      <c r="P132" s="428"/>
      <c r="Q132" s="427">
        <f t="shared" si="4"/>
        <v>25.7</v>
      </c>
      <c r="R132" s="20" t="s">
        <v>628</v>
      </c>
    </row>
    <row r="133" spans="1:17" ht="14.25">
      <c r="A133" s="352"/>
      <c r="B133" s="418"/>
      <c r="C133" s="416"/>
      <c r="D133" s="417" t="s">
        <v>1</v>
      </c>
      <c r="E133" s="419"/>
      <c r="F133" s="301"/>
      <c r="G133" s="301"/>
      <c r="H133" s="301"/>
      <c r="I133" s="301"/>
      <c r="J133" s="301"/>
      <c r="K133" s="301"/>
      <c r="L133" s="301"/>
      <c r="M133" s="301"/>
      <c r="N133" s="301"/>
      <c r="O133" s="301"/>
      <c r="P133" s="428"/>
      <c r="Q133" s="427">
        <f t="shared" si="4"/>
        <v>0</v>
      </c>
    </row>
    <row r="134" ht="13.5">
      <c r="Q134" s="425"/>
    </row>
    <row r="136" spans="1:17" ht="13.5">
      <c r="A136" s="623" t="s">
        <v>591</v>
      </c>
      <c r="B136" s="624" t="s">
        <v>600</v>
      </c>
      <c r="C136" s="624"/>
      <c r="D136" s="624">
        <v>1</v>
      </c>
      <c r="E136" s="359">
        <v>0.425</v>
      </c>
      <c r="F136" s="359">
        <v>0.825</v>
      </c>
      <c r="G136" s="359">
        <v>3.075</v>
      </c>
      <c r="H136" s="359">
        <v>0.675</v>
      </c>
      <c r="I136" s="359">
        <v>1.38</v>
      </c>
      <c r="J136" s="359">
        <v>2.035</v>
      </c>
      <c r="K136" s="359">
        <v>0.17</v>
      </c>
      <c r="L136" s="359">
        <v>0.12</v>
      </c>
      <c r="M136" s="359">
        <v>0.195</v>
      </c>
      <c r="N136" s="359">
        <v>1.22</v>
      </c>
      <c r="O136" s="359">
        <v>0.075</v>
      </c>
      <c r="P136" s="359">
        <v>0</v>
      </c>
      <c r="Q136" s="359">
        <f>SUM(E136:P136)</f>
        <v>10.194999999999999</v>
      </c>
    </row>
    <row r="137" spans="1:18" ht="13.5">
      <c r="A137" s="623" t="s">
        <v>591</v>
      </c>
      <c r="B137" s="624" t="s">
        <v>613</v>
      </c>
      <c r="C137" s="624"/>
      <c r="D137" s="624">
        <v>2</v>
      </c>
      <c r="E137" s="359">
        <v>1</v>
      </c>
      <c r="F137" s="359">
        <v>1</v>
      </c>
      <c r="G137" s="359">
        <v>1</v>
      </c>
      <c r="H137" s="359">
        <v>3</v>
      </c>
      <c r="I137" s="359">
        <v>3</v>
      </c>
      <c r="J137" s="359">
        <v>1.2</v>
      </c>
      <c r="K137" s="359">
        <v>0.7</v>
      </c>
      <c r="L137" s="359">
        <v>8.6</v>
      </c>
      <c r="M137" s="359">
        <v>2.5</v>
      </c>
      <c r="N137" s="359">
        <v>1.5</v>
      </c>
      <c r="O137" s="359">
        <v>1</v>
      </c>
      <c r="P137" s="359">
        <v>1.3</v>
      </c>
      <c r="Q137" s="359">
        <f aca="true" t="shared" si="5" ref="Q137:Q146">SUM(E137:P137)</f>
        <v>25.8</v>
      </c>
      <c r="R137" s="20" t="s">
        <v>332</v>
      </c>
    </row>
    <row r="138" spans="1:18" ht="13.5">
      <c r="A138" s="623" t="s">
        <v>592</v>
      </c>
      <c r="B138" s="624"/>
      <c r="C138" s="624"/>
      <c r="D138" s="624">
        <v>3</v>
      </c>
      <c r="E138" s="359">
        <v>1.5</v>
      </c>
      <c r="F138" s="359">
        <v>1</v>
      </c>
      <c r="G138" s="359">
        <v>2.5</v>
      </c>
      <c r="H138" s="359">
        <v>0.5</v>
      </c>
      <c r="I138" s="359">
        <v>3.3</v>
      </c>
      <c r="J138" s="359">
        <v>3</v>
      </c>
      <c r="K138" s="359">
        <v>1</v>
      </c>
      <c r="L138" s="359">
        <v>0</v>
      </c>
      <c r="M138" s="359">
        <v>0</v>
      </c>
      <c r="N138" s="359">
        <v>0</v>
      </c>
      <c r="O138" s="359">
        <v>0</v>
      </c>
      <c r="P138" s="359">
        <v>1</v>
      </c>
      <c r="Q138" s="359">
        <f t="shared" si="5"/>
        <v>13.8</v>
      </c>
      <c r="R138" s="20" t="s">
        <v>332</v>
      </c>
    </row>
    <row r="139" spans="1:18" ht="13.5">
      <c r="A139" s="623" t="s">
        <v>596</v>
      </c>
      <c r="B139" s="624"/>
      <c r="C139" s="624"/>
      <c r="D139" s="624">
        <v>4</v>
      </c>
      <c r="E139" s="359">
        <v>1.5</v>
      </c>
      <c r="F139" s="359">
        <v>1</v>
      </c>
      <c r="G139" s="359">
        <v>2.5</v>
      </c>
      <c r="H139" s="359">
        <v>0.5</v>
      </c>
      <c r="I139" s="359">
        <v>3.3</v>
      </c>
      <c r="J139" s="359">
        <v>3</v>
      </c>
      <c r="K139" s="359">
        <v>1</v>
      </c>
      <c r="L139" s="359">
        <v>0</v>
      </c>
      <c r="M139" s="359">
        <v>0</v>
      </c>
      <c r="N139" s="359">
        <v>0</v>
      </c>
      <c r="O139" s="359">
        <v>0</v>
      </c>
      <c r="P139" s="359">
        <v>1</v>
      </c>
      <c r="Q139" s="359">
        <f t="shared" si="5"/>
        <v>13.8</v>
      </c>
      <c r="R139" s="20" t="s">
        <v>332</v>
      </c>
    </row>
    <row r="140" spans="1:17" ht="13.5">
      <c r="A140" s="623" t="s">
        <v>597</v>
      </c>
      <c r="B140" s="624"/>
      <c r="C140" s="624"/>
      <c r="D140" s="624">
        <v>5</v>
      </c>
      <c r="E140" s="359"/>
      <c r="F140" s="359"/>
      <c r="G140" s="359"/>
      <c r="H140" s="359"/>
      <c r="I140" s="359"/>
      <c r="J140" s="359">
        <v>3</v>
      </c>
      <c r="K140" s="359">
        <v>3</v>
      </c>
      <c r="L140" s="359">
        <v>5</v>
      </c>
      <c r="M140" s="359">
        <v>5</v>
      </c>
      <c r="N140" s="359">
        <v>5</v>
      </c>
      <c r="O140" s="359"/>
      <c r="P140" s="359"/>
      <c r="Q140" s="359">
        <f t="shared" si="5"/>
        <v>21</v>
      </c>
    </row>
    <row r="141" spans="1:18" ht="13.5">
      <c r="A141" s="623" t="s">
        <v>593</v>
      </c>
      <c r="B141" s="624"/>
      <c r="C141" s="624"/>
      <c r="D141" s="624">
        <v>6</v>
      </c>
      <c r="E141" s="359">
        <v>10.4</v>
      </c>
      <c r="F141" s="359">
        <v>19.2</v>
      </c>
      <c r="G141" s="359">
        <v>7.2</v>
      </c>
      <c r="H141" s="359">
        <v>36</v>
      </c>
      <c r="I141" s="359">
        <v>76</v>
      </c>
      <c r="J141" s="359">
        <v>247.8</v>
      </c>
      <c r="K141" s="359">
        <v>3.2</v>
      </c>
      <c r="L141" s="359">
        <v>92</v>
      </c>
      <c r="M141" s="359">
        <v>24.8</v>
      </c>
      <c r="N141" s="359">
        <v>9.6</v>
      </c>
      <c r="O141" s="359">
        <v>25.6</v>
      </c>
      <c r="P141" s="359">
        <v>11.2</v>
      </c>
      <c r="Q141" s="359">
        <f t="shared" si="5"/>
        <v>563.0000000000001</v>
      </c>
      <c r="R141" s="20" t="s">
        <v>332</v>
      </c>
    </row>
    <row r="142" spans="1:18" ht="13.5">
      <c r="A142" s="623" t="s">
        <v>594</v>
      </c>
      <c r="B142" s="624"/>
      <c r="C142" s="624"/>
      <c r="D142" s="624">
        <v>7</v>
      </c>
      <c r="E142" s="359">
        <v>24.6</v>
      </c>
      <c r="F142" s="359">
        <v>106.6</v>
      </c>
      <c r="G142" s="359">
        <v>146.2</v>
      </c>
      <c r="H142" s="359">
        <v>118.6</v>
      </c>
      <c r="I142" s="359">
        <v>60.8</v>
      </c>
      <c r="J142" s="359">
        <v>104.2</v>
      </c>
      <c r="K142" s="359">
        <v>244.2</v>
      </c>
      <c r="L142" s="359">
        <v>96.3</v>
      </c>
      <c r="M142" s="359">
        <v>30.2</v>
      </c>
      <c r="N142" s="359">
        <v>77.9</v>
      </c>
      <c r="O142" s="359">
        <v>11.9</v>
      </c>
      <c r="P142" s="359">
        <v>37.6</v>
      </c>
      <c r="Q142" s="359">
        <f t="shared" si="5"/>
        <v>1059.1</v>
      </c>
      <c r="R142" s="20" t="s">
        <v>332</v>
      </c>
    </row>
    <row r="143" spans="1:18" ht="13.5">
      <c r="A143" s="623" t="s">
        <v>595</v>
      </c>
      <c r="B143" s="624"/>
      <c r="C143" s="624"/>
      <c r="D143" s="624">
        <v>8</v>
      </c>
      <c r="E143" s="359">
        <v>24</v>
      </c>
      <c r="F143" s="359">
        <v>23</v>
      </c>
      <c r="G143" s="359">
        <v>4.5</v>
      </c>
      <c r="H143" s="359">
        <v>2</v>
      </c>
      <c r="I143" s="359">
        <v>3</v>
      </c>
      <c r="J143" s="359">
        <v>0</v>
      </c>
      <c r="K143" s="359">
        <v>1.5</v>
      </c>
      <c r="L143" s="359">
        <v>0</v>
      </c>
      <c r="M143" s="359">
        <v>2</v>
      </c>
      <c r="N143" s="359">
        <v>12.3</v>
      </c>
      <c r="O143" s="359">
        <v>34.5</v>
      </c>
      <c r="P143" s="359">
        <v>15</v>
      </c>
      <c r="Q143" s="359">
        <f t="shared" si="5"/>
        <v>121.8</v>
      </c>
      <c r="R143" s="20" t="s">
        <v>332</v>
      </c>
    </row>
    <row r="144" spans="1:18" ht="13.5">
      <c r="A144" s="623" t="s">
        <v>569</v>
      </c>
      <c r="B144" s="624"/>
      <c r="C144" s="624"/>
      <c r="D144" s="624">
        <v>9</v>
      </c>
      <c r="E144" s="359">
        <v>31</v>
      </c>
      <c r="F144" s="359">
        <v>1</v>
      </c>
      <c r="G144" s="359">
        <v>11</v>
      </c>
      <c r="H144" s="359">
        <v>69</v>
      </c>
      <c r="I144" s="359">
        <v>97</v>
      </c>
      <c r="J144" s="359">
        <v>63</v>
      </c>
      <c r="K144" s="359">
        <v>3</v>
      </c>
      <c r="L144" s="359">
        <v>0</v>
      </c>
      <c r="M144" s="359">
        <v>0</v>
      </c>
      <c r="N144" s="359">
        <v>0</v>
      </c>
      <c r="O144" s="359">
        <v>0</v>
      </c>
      <c r="P144" s="359">
        <v>1</v>
      </c>
      <c r="Q144" s="359">
        <f t="shared" si="5"/>
        <v>276</v>
      </c>
      <c r="R144" s="20" t="s">
        <v>332</v>
      </c>
    </row>
    <row r="145" spans="1:18" ht="13.5">
      <c r="A145" s="623" t="s">
        <v>598</v>
      </c>
      <c r="B145" s="624"/>
      <c r="C145" s="624"/>
      <c r="D145" s="624">
        <v>10</v>
      </c>
      <c r="E145" s="359">
        <v>0</v>
      </c>
      <c r="F145" s="359">
        <v>0</v>
      </c>
      <c r="G145" s="359">
        <v>0</v>
      </c>
      <c r="H145" s="359">
        <v>93</v>
      </c>
      <c r="I145" s="359">
        <v>28.2</v>
      </c>
      <c r="J145" s="359">
        <v>82.2</v>
      </c>
      <c r="K145" s="359">
        <v>101.4</v>
      </c>
      <c r="L145" s="359">
        <v>97.8</v>
      </c>
      <c r="M145" s="359">
        <v>28.8</v>
      </c>
      <c r="N145" s="359">
        <v>0</v>
      </c>
      <c r="O145" s="359">
        <v>0</v>
      </c>
      <c r="P145" s="359">
        <v>0</v>
      </c>
      <c r="Q145" s="359">
        <f t="shared" si="5"/>
        <v>431.40000000000003</v>
      </c>
      <c r="R145" s="20" t="s">
        <v>332</v>
      </c>
    </row>
    <row r="146" spans="1:17" ht="14.25">
      <c r="A146" s="625" t="s">
        <v>572</v>
      </c>
      <c r="B146" s="626"/>
      <c r="C146" s="627"/>
      <c r="D146" s="624">
        <v>11</v>
      </c>
      <c r="E146" s="628">
        <v>11</v>
      </c>
      <c r="F146" s="628">
        <v>13.9</v>
      </c>
      <c r="G146" s="628">
        <v>6</v>
      </c>
      <c r="H146" s="628">
        <v>26.9</v>
      </c>
      <c r="I146" s="628">
        <v>34</v>
      </c>
      <c r="J146" s="628">
        <v>38.6</v>
      </c>
      <c r="K146" s="628">
        <v>4.5</v>
      </c>
      <c r="L146" s="628">
        <v>0</v>
      </c>
      <c r="M146" s="628">
        <v>0</v>
      </c>
      <c r="N146" s="628">
        <v>0</v>
      </c>
      <c r="O146" s="628">
        <v>1</v>
      </c>
      <c r="P146" s="628">
        <v>5</v>
      </c>
      <c r="Q146" s="629">
        <f t="shared" si="5"/>
        <v>140.9</v>
      </c>
    </row>
  </sheetData>
  <sheetProtection/>
  <mergeCells count="1">
    <mergeCell ref="C2:D2"/>
  </mergeCells>
  <printOptions/>
  <pageMargins left="0.18" right="0.16" top="0.984" bottom="0.23"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70C0"/>
  </sheetPr>
  <dimension ref="A1:Z61"/>
  <sheetViews>
    <sheetView showGridLines="0" zoomScale="90" zoomScaleNormal="90" zoomScalePageLayoutView="0" workbookViewId="0" topLeftCell="A1">
      <selection activeCell="B7" sqref="B7"/>
    </sheetView>
  </sheetViews>
  <sheetFormatPr defaultColWidth="9.00390625" defaultRowHeight="13.5" customHeight="1"/>
  <cols>
    <col min="1" max="1" width="3.375" style="135" customWidth="1"/>
    <col min="2" max="2" width="20.75390625" style="135" bestFit="1" customWidth="1"/>
    <col min="3" max="3" width="9.875" style="195" customWidth="1"/>
    <col min="4" max="4" width="7.75390625" style="134" customWidth="1"/>
    <col min="5" max="5" width="13.125" style="135" bestFit="1" customWidth="1"/>
    <col min="6" max="6" width="33.75390625" style="135" customWidth="1"/>
    <col min="7" max="7" width="2.375" style="134" customWidth="1"/>
    <col min="8" max="8" width="2.625" style="5" bestFit="1" customWidth="1"/>
    <col min="9" max="9" width="6.25390625" style="5" customWidth="1"/>
    <col min="10" max="10" width="5.625" style="5" customWidth="1"/>
    <col min="11" max="11" width="5.375" style="5" customWidth="1"/>
    <col min="12" max="12" width="3.125" style="5" bestFit="1" customWidth="1"/>
    <col min="13" max="24" width="4.875" style="32" customWidth="1"/>
    <col min="25" max="25" width="2.50390625" style="32" customWidth="1"/>
    <col min="26" max="26" width="6.50390625" style="32" customWidth="1"/>
    <col min="27" max="16384" width="9.00390625" style="135" customWidth="1"/>
  </cols>
  <sheetData>
    <row r="1" spans="2:12" ht="14.25">
      <c r="B1" s="1287" t="s">
        <v>633</v>
      </c>
      <c r="C1" s="1287"/>
      <c r="D1" s="1287"/>
      <c r="E1" s="1287"/>
      <c r="F1" s="1287"/>
      <c r="H1" s="1241" t="s">
        <v>16</v>
      </c>
      <c r="I1" s="1241"/>
      <c r="J1" s="1241"/>
      <c r="K1" s="1241"/>
      <c r="L1" s="1241"/>
    </row>
    <row r="2" spans="8:26" ht="13.5" customHeight="1">
      <c r="H2" s="1242"/>
      <c r="I2" s="1242"/>
      <c r="J2" s="1242"/>
      <c r="K2" s="1242"/>
      <c r="L2" s="1242"/>
      <c r="M2" s="132"/>
      <c r="N2" s="132"/>
      <c r="O2" s="132"/>
      <c r="P2" s="132"/>
      <c r="Q2" s="132"/>
      <c r="R2" s="132"/>
      <c r="S2" s="132"/>
      <c r="T2" s="132"/>
      <c r="U2" s="132"/>
      <c r="V2" s="132"/>
      <c r="W2" s="132"/>
      <c r="X2" s="132"/>
      <c r="Y2" s="132"/>
      <c r="Z2" s="132"/>
    </row>
    <row r="3" spans="2:26" ht="13.5" customHeight="1">
      <c r="B3" s="604" t="s">
        <v>17</v>
      </c>
      <c r="C3" s="198" t="s">
        <v>18</v>
      </c>
      <c r="D3" s="1206" t="s">
        <v>19</v>
      </c>
      <c r="E3" s="1206"/>
      <c r="F3" s="1288"/>
      <c r="H3" s="1243" t="s">
        <v>0</v>
      </c>
      <c r="I3" s="1257" t="s">
        <v>20</v>
      </c>
      <c r="J3" s="1258"/>
      <c r="K3" s="1289" t="s">
        <v>18</v>
      </c>
      <c r="L3" s="1290"/>
      <c r="M3" s="606" t="s">
        <v>21</v>
      </c>
      <c r="N3" s="480" t="s">
        <v>5</v>
      </c>
      <c r="O3" s="480" t="s">
        <v>6</v>
      </c>
      <c r="P3" s="480" t="s">
        <v>7</v>
      </c>
      <c r="Q3" s="480" t="s">
        <v>8</v>
      </c>
      <c r="R3" s="480" t="s">
        <v>9</v>
      </c>
      <c r="S3" s="480" t="s">
        <v>10</v>
      </c>
      <c r="T3" s="480" t="s">
        <v>11</v>
      </c>
      <c r="U3" s="480" t="s">
        <v>12</v>
      </c>
      <c r="V3" s="480" t="s">
        <v>13</v>
      </c>
      <c r="W3" s="480" t="s">
        <v>14</v>
      </c>
      <c r="X3" s="480" t="s">
        <v>15</v>
      </c>
      <c r="Y3" s="1271" t="s">
        <v>22</v>
      </c>
      <c r="Z3" s="1272"/>
    </row>
    <row r="4" spans="2:26" ht="13.5" customHeight="1">
      <c r="B4" s="163" t="s">
        <v>23</v>
      </c>
      <c r="C4" s="621" t="e">
        <f>#REF!</f>
        <v>#REF!</v>
      </c>
      <c r="D4" s="1273">
        <v>0.1</v>
      </c>
      <c r="E4" s="1274"/>
      <c r="F4" s="1275"/>
      <c r="H4" s="1244"/>
      <c r="I4" s="1276" t="s">
        <v>24</v>
      </c>
      <c r="J4" s="1277"/>
      <c r="K4" s="312" t="e">
        <f>C4</f>
        <v>#REF!</v>
      </c>
      <c r="L4" s="313" t="s">
        <v>551</v>
      </c>
      <c r="M4" s="526" t="e">
        <f>Y4/12</f>
        <v>#REF!</v>
      </c>
      <c r="N4" s="481" t="e">
        <f>Y4/12</f>
        <v>#REF!</v>
      </c>
      <c r="O4" s="481" t="e">
        <f>Y4/12</f>
        <v>#REF!</v>
      </c>
      <c r="P4" s="481" t="e">
        <f>Y4/12</f>
        <v>#REF!</v>
      </c>
      <c r="Q4" s="481" t="e">
        <f>Y4/12</f>
        <v>#REF!</v>
      </c>
      <c r="R4" s="481" t="e">
        <f>Y4/12</f>
        <v>#REF!</v>
      </c>
      <c r="S4" s="481" t="e">
        <f>Y4/12</f>
        <v>#REF!</v>
      </c>
      <c r="T4" s="481" t="e">
        <f>Y4/12</f>
        <v>#REF!</v>
      </c>
      <c r="U4" s="481" t="e">
        <f>Y4/12</f>
        <v>#REF!</v>
      </c>
      <c r="V4" s="481" t="e">
        <f>Y4/12</f>
        <v>#REF!</v>
      </c>
      <c r="W4" s="481" t="e">
        <f>Y4/12</f>
        <v>#REF!</v>
      </c>
      <c r="X4" s="481" t="e">
        <f>Y4/12</f>
        <v>#REF!</v>
      </c>
      <c r="Y4" s="1278" t="e">
        <f>ROUND(IF(K4&lt;=5,K4*134.5,IF(K4&lt;=10,K4*100.6,IF(K4&lt;=20,K4*84.9,K4*66.7))),0)</f>
        <v>#REF!</v>
      </c>
      <c r="Z4" s="1279"/>
    </row>
    <row r="5" spans="2:26" ht="13.5" customHeight="1">
      <c r="B5" s="165" t="s">
        <v>634</v>
      </c>
      <c r="C5" s="612" t="e">
        <f>C4-C6</f>
        <v>#REF!</v>
      </c>
      <c r="D5" s="1280"/>
      <c r="E5" s="1281"/>
      <c r="F5" s="1282"/>
      <c r="H5" s="1244"/>
      <c r="I5" s="1283"/>
      <c r="J5" s="1284"/>
      <c r="K5" s="314"/>
      <c r="L5" s="315"/>
      <c r="M5" s="527"/>
      <c r="N5" s="482"/>
      <c r="O5" s="482"/>
      <c r="P5" s="482"/>
      <c r="Q5" s="482"/>
      <c r="R5" s="482"/>
      <c r="S5" s="482"/>
      <c r="T5" s="482"/>
      <c r="U5" s="482"/>
      <c r="V5" s="482"/>
      <c r="W5" s="482"/>
      <c r="X5" s="482"/>
      <c r="Y5" s="1285"/>
      <c r="Z5" s="1286"/>
    </row>
    <row r="6" spans="2:26" ht="13.5" customHeight="1">
      <c r="B6" s="169" t="s">
        <v>635</v>
      </c>
      <c r="C6" s="610" t="e">
        <f>ROUNDDOWN(9*C4*D4/(9*D4+14),0)</f>
        <v>#REF!</v>
      </c>
      <c r="D6" s="1291">
        <f>D7</f>
        <v>0.1</v>
      </c>
      <c r="E6" s="1292"/>
      <c r="F6" s="1293"/>
      <c r="H6" s="1244"/>
      <c r="I6" s="1294"/>
      <c r="J6" s="1295"/>
      <c r="K6" s="316"/>
      <c r="L6" s="317"/>
      <c r="M6" s="528"/>
      <c r="N6" s="484"/>
      <c r="O6" s="484"/>
      <c r="P6" s="484"/>
      <c r="Q6" s="484"/>
      <c r="R6" s="484"/>
      <c r="S6" s="484"/>
      <c r="T6" s="484"/>
      <c r="U6" s="484"/>
      <c r="V6" s="484"/>
      <c r="W6" s="484"/>
      <c r="X6" s="484"/>
      <c r="Y6" s="1252"/>
      <c r="Z6" s="1253"/>
    </row>
    <row r="7" spans="2:26" ht="13.5" customHeight="1">
      <c r="B7" s="611" t="s">
        <v>25</v>
      </c>
      <c r="C7" s="216" t="e">
        <f>ROUND(C5*D4*5/12,0)</f>
        <v>#REF!</v>
      </c>
      <c r="D7" s="1254">
        <f>D4</f>
        <v>0.1</v>
      </c>
      <c r="E7" s="1255"/>
      <c r="F7" s="1256"/>
      <c r="H7" s="1244"/>
      <c r="I7" s="1257" t="s">
        <v>22</v>
      </c>
      <c r="J7" s="1258"/>
      <c r="K7" s="318" t="e">
        <f>SUM(K4:K6)</f>
        <v>#REF!</v>
      </c>
      <c r="L7" s="319" t="s">
        <v>551</v>
      </c>
      <c r="M7" s="529" t="e">
        <f aca="true" t="shared" si="0" ref="M7:X7">SUM(M4:M6)</f>
        <v>#REF!</v>
      </c>
      <c r="N7" s="479" t="e">
        <f t="shared" si="0"/>
        <v>#REF!</v>
      </c>
      <c r="O7" s="479" t="e">
        <f t="shared" si="0"/>
        <v>#REF!</v>
      </c>
      <c r="P7" s="479" t="e">
        <f t="shared" si="0"/>
        <v>#REF!</v>
      </c>
      <c r="Q7" s="479" t="e">
        <f t="shared" si="0"/>
        <v>#REF!</v>
      </c>
      <c r="R7" s="479" t="e">
        <f t="shared" si="0"/>
        <v>#REF!</v>
      </c>
      <c r="S7" s="479" t="e">
        <f t="shared" si="0"/>
        <v>#REF!</v>
      </c>
      <c r="T7" s="479" t="e">
        <f t="shared" si="0"/>
        <v>#REF!</v>
      </c>
      <c r="U7" s="479" t="e">
        <f t="shared" si="0"/>
        <v>#REF!</v>
      </c>
      <c r="V7" s="479" t="e">
        <f t="shared" si="0"/>
        <v>#REF!</v>
      </c>
      <c r="W7" s="479" t="e">
        <f t="shared" si="0"/>
        <v>#REF!</v>
      </c>
      <c r="X7" s="479" t="e">
        <f t="shared" si="0"/>
        <v>#REF!</v>
      </c>
      <c r="Y7" s="191" t="s">
        <v>636</v>
      </c>
      <c r="Z7" s="190" t="e">
        <f>SUM(Y4:Z6)</f>
        <v>#REF!</v>
      </c>
    </row>
    <row r="8" spans="2:26" ht="13.5" customHeight="1">
      <c r="B8" s="179" t="s">
        <v>26</v>
      </c>
      <c r="C8" s="620" t="e">
        <f>ROUND(C4*D9*8/12,0)</f>
        <v>#REF!</v>
      </c>
      <c r="D8" s="1259">
        <f>D9</f>
        <v>0.9</v>
      </c>
      <c r="E8" s="1260"/>
      <c r="F8" s="1261"/>
      <c r="H8" s="1244"/>
      <c r="I8" s="1262" t="s">
        <v>27</v>
      </c>
      <c r="J8" s="1263"/>
      <c r="K8" s="1263"/>
      <c r="L8" s="1264"/>
      <c r="M8" s="530">
        <f aca="true" t="shared" si="1" ref="M8:X8">M23</f>
        <v>166.75</v>
      </c>
      <c r="N8" s="485">
        <f t="shared" si="1"/>
        <v>166.75</v>
      </c>
      <c r="O8" s="485">
        <f t="shared" si="1"/>
        <v>166.75</v>
      </c>
      <c r="P8" s="485">
        <f t="shared" si="1"/>
        <v>166.75</v>
      </c>
      <c r="Q8" s="485">
        <f t="shared" si="1"/>
        <v>166.75</v>
      </c>
      <c r="R8" s="485">
        <f t="shared" si="1"/>
        <v>166.75</v>
      </c>
      <c r="S8" s="485">
        <f t="shared" si="1"/>
        <v>166.75</v>
      </c>
      <c r="T8" s="485">
        <f t="shared" si="1"/>
        <v>166.75</v>
      </c>
      <c r="U8" s="485">
        <f t="shared" si="1"/>
        <v>166.75</v>
      </c>
      <c r="V8" s="485">
        <f t="shared" si="1"/>
        <v>166.75</v>
      </c>
      <c r="W8" s="485">
        <f t="shared" si="1"/>
        <v>166.75</v>
      </c>
      <c r="X8" s="485">
        <f t="shared" si="1"/>
        <v>166.75</v>
      </c>
      <c r="Y8" s="192" t="s">
        <v>637</v>
      </c>
      <c r="Z8" s="189">
        <f>SUM(M8:X8)</f>
        <v>2001</v>
      </c>
    </row>
    <row r="9" spans="2:26" ht="13.5" customHeight="1">
      <c r="B9" s="165" t="s">
        <v>638</v>
      </c>
      <c r="C9" s="612" t="e">
        <f>ROUND(C4*D9,0)</f>
        <v>#REF!</v>
      </c>
      <c r="D9" s="1265">
        <v>0.9</v>
      </c>
      <c r="E9" s="1266"/>
      <c r="F9" s="1267"/>
      <c r="H9" s="1245"/>
      <c r="I9" s="1268" t="s">
        <v>28</v>
      </c>
      <c r="J9" s="1269"/>
      <c r="K9" s="1269"/>
      <c r="L9" s="1270"/>
      <c r="M9" s="531">
        <f aca="true" t="shared" si="2" ref="M9:X9">M28</f>
        <v>0</v>
      </c>
      <c r="N9" s="486">
        <f t="shared" si="2"/>
        <v>0</v>
      </c>
      <c r="O9" s="486">
        <f t="shared" si="2"/>
        <v>0</v>
      </c>
      <c r="P9" s="486">
        <f t="shared" si="2"/>
        <v>0</v>
      </c>
      <c r="Q9" s="486">
        <f t="shared" si="2"/>
        <v>0</v>
      </c>
      <c r="R9" s="486">
        <f t="shared" si="2"/>
        <v>0</v>
      </c>
      <c r="S9" s="486">
        <f t="shared" si="2"/>
        <v>0</v>
      </c>
      <c r="T9" s="486">
        <f t="shared" si="2"/>
        <v>0</v>
      </c>
      <c r="U9" s="486">
        <f t="shared" si="2"/>
        <v>0</v>
      </c>
      <c r="V9" s="486">
        <f t="shared" si="2"/>
        <v>0</v>
      </c>
      <c r="W9" s="486">
        <f t="shared" si="2"/>
        <v>0</v>
      </c>
      <c r="X9" s="486">
        <f t="shared" si="2"/>
        <v>0</v>
      </c>
      <c r="Y9" s="193" t="s">
        <v>639</v>
      </c>
      <c r="Z9" s="188">
        <f>SUM(M9:X9)</f>
        <v>0</v>
      </c>
    </row>
    <row r="10" spans="2:26" ht="13.5" customHeight="1">
      <c r="B10" s="167" t="s">
        <v>29</v>
      </c>
      <c r="C10" s="619" t="e">
        <f>ROUND(C9*(1-D10),0)-C7</f>
        <v>#REF!</v>
      </c>
      <c r="D10" s="1235">
        <v>0.02</v>
      </c>
      <c r="E10" s="1236"/>
      <c r="F10" s="1237"/>
      <c r="H10" s="133"/>
      <c r="I10" s="30"/>
      <c r="J10" s="30"/>
      <c r="K10" s="8"/>
      <c r="L10" s="9"/>
      <c r="M10" s="613"/>
      <c r="N10" s="613"/>
      <c r="O10" s="613"/>
      <c r="P10" s="613"/>
      <c r="Q10" s="613"/>
      <c r="R10" s="613"/>
      <c r="S10" s="613"/>
      <c r="T10" s="613"/>
      <c r="U10" s="613"/>
      <c r="V10" s="613"/>
      <c r="W10" s="613"/>
      <c r="X10" s="613"/>
      <c r="Y10" s="33"/>
      <c r="Z10" s="33"/>
    </row>
    <row r="11" spans="2:26" ht="13.5" customHeight="1">
      <c r="B11" s="178" t="s">
        <v>30</v>
      </c>
      <c r="C11" s="216" t="e">
        <f>SUM(C4+C7+C8)</f>
        <v>#REF!</v>
      </c>
      <c r="H11" s="133"/>
      <c r="I11" s="30"/>
      <c r="J11" s="30"/>
      <c r="K11" s="8"/>
      <c r="L11" s="9"/>
      <c r="M11" s="613"/>
      <c r="N11" s="613"/>
      <c r="O11" s="613"/>
      <c r="P11" s="613"/>
      <c r="Q11" s="613"/>
      <c r="R11" s="613"/>
      <c r="S11" s="613"/>
      <c r="T11" s="613"/>
      <c r="U11" s="613"/>
      <c r="V11" s="613"/>
      <c r="W11" s="1238" t="s">
        <v>31</v>
      </c>
      <c r="X11" s="1238"/>
      <c r="Y11" s="1238"/>
      <c r="Z11" s="1238"/>
    </row>
    <row r="12" spans="6:26" ht="13.5" customHeight="1">
      <c r="F12" s="136" t="s">
        <v>32</v>
      </c>
      <c r="H12" s="133"/>
      <c r="I12" s="9"/>
      <c r="J12" s="9"/>
      <c r="L12" s="9"/>
      <c r="M12" s="34"/>
      <c r="N12" s="34"/>
      <c r="O12" s="34"/>
      <c r="P12" s="34"/>
      <c r="Q12" s="34"/>
      <c r="R12" s="34"/>
      <c r="S12" s="34"/>
      <c r="T12" s="34"/>
      <c r="U12" s="34"/>
      <c r="V12" s="34"/>
      <c r="W12" s="1239" t="s">
        <v>640</v>
      </c>
      <c r="X12" s="1240"/>
      <c r="Y12" s="1240"/>
      <c r="Z12" s="213" t="e">
        <f>ROUND(Z7-Z8-Z9,0)</f>
        <v>#REF!</v>
      </c>
    </row>
    <row r="13" spans="2:26" ht="13.5" customHeight="1">
      <c r="B13" s="604" t="s">
        <v>33</v>
      </c>
      <c r="C13" s="198" t="s">
        <v>34</v>
      </c>
      <c r="D13" s="607" t="s">
        <v>35</v>
      </c>
      <c r="E13" s="605" t="s">
        <v>36</v>
      </c>
      <c r="F13" s="608" t="s">
        <v>19</v>
      </c>
      <c r="H13" s="133"/>
      <c r="I13" s="9"/>
      <c r="J13" s="9"/>
      <c r="L13" s="9"/>
      <c r="M13" s="34"/>
      <c r="N13" s="34"/>
      <c r="O13" s="34"/>
      <c r="P13" s="34"/>
      <c r="Q13" s="34"/>
      <c r="R13" s="34"/>
      <c r="S13" s="34"/>
      <c r="T13" s="34"/>
      <c r="U13" s="34"/>
      <c r="V13" s="34"/>
      <c r="W13" s="34"/>
      <c r="X13" s="34"/>
      <c r="Y13" s="614"/>
      <c r="Z13" s="614"/>
    </row>
    <row r="14" spans="2:26" ht="13.5" customHeight="1">
      <c r="B14" s="163" t="s">
        <v>37</v>
      </c>
      <c r="C14" s="196" t="e">
        <f>E14*D14</f>
        <v>#REF!</v>
      </c>
      <c r="D14" s="181">
        <v>372000</v>
      </c>
      <c r="E14" s="140" t="e">
        <f>C10</f>
        <v>#REF!</v>
      </c>
      <c r="F14" s="164"/>
      <c r="H14" s="133"/>
      <c r="I14" s="9"/>
      <c r="J14" s="9"/>
      <c r="L14" s="9"/>
      <c r="M14" s="34"/>
      <c r="N14" s="34"/>
      <c r="O14" s="34"/>
      <c r="P14" s="34"/>
      <c r="Q14" s="34"/>
      <c r="R14" s="34"/>
      <c r="S14" s="34"/>
      <c r="T14" s="34"/>
      <c r="U14" s="34"/>
      <c r="V14" s="34"/>
      <c r="W14" s="34"/>
      <c r="X14" s="34"/>
      <c r="Y14" s="614"/>
      <c r="Z14" s="614"/>
    </row>
    <row r="15" spans="2:22" ht="13.5" customHeight="1">
      <c r="B15" s="165" t="s">
        <v>38</v>
      </c>
      <c r="C15" s="197" t="e">
        <f>SUM(C16:C19)</f>
        <v>#REF!</v>
      </c>
      <c r="D15" s="174"/>
      <c r="E15" s="143"/>
      <c r="F15" s="166"/>
      <c r="H15" s="133"/>
      <c r="I15" s="9"/>
      <c r="J15" s="9"/>
      <c r="K15" s="10"/>
      <c r="L15" s="9"/>
      <c r="M15" s="614"/>
      <c r="N15" s="614"/>
      <c r="O15" s="614"/>
      <c r="P15" s="614"/>
      <c r="Q15" s="614"/>
      <c r="R15" s="614"/>
      <c r="S15" s="614"/>
      <c r="T15" s="614"/>
      <c r="U15" s="614"/>
      <c r="V15" s="614"/>
    </row>
    <row r="16" spans="2:22" ht="13.5" customHeight="1">
      <c r="B16" s="248" t="s">
        <v>39</v>
      </c>
      <c r="C16" s="214"/>
      <c r="D16" s="174"/>
      <c r="E16" s="143"/>
      <c r="F16" s="166"/>
      <c r="H16" s="1241" t="s">
        <v>40</v>
      </c>
      <c r="I16" s="1241"/>
      <c r="J16" s="1241"/>
      <c r="K16" s="1241"/>
      <c r="L16" s="1241"/>
      <c r="M16" s="35"/>
      <c r="N16" s="35"/>
      <c r="O16" s="35"/>
      <c r="P16" s="35"/>
      <c r="Q16" s="35"/>
      <c r="R16" s="35"/>
      <c r="S16" s="35"/>
      <c r="T16" s="35"/>
      <c r="U16" s="35"/>
      <c r="V16" s="35"/>
    </row>
    <row r="17" spans="2:26" ht="13.5" customHeight="1">
      <c r="B17" s="248" t="s">
        <v>41</v>
      </c>
      <c r="C17" s="199" t="e">
        <f>D17*E17*0.8</f>
        <v>#REF!</v>
      </c>
      <c r="D17" s="174">
        <v>5000</v>
      </c>
      <c r="E17" s="143" t="e">
        <f>ROUND(C10*0.8,0)</f>
        <v>#REF!</v>
      </c>
      <c r="F17" s="166" t="s">
        <v>609</v>
      </c>
      <c r="H17" s="1242"/>
      <c r="I17" s="1242"/>
      <c r="J17" s="1242"/>
      <c r="K17" s="1242"/>
      <c r="L17" s="1242"/>
      <c r="M17" s="194"/>
      <c r="N17" s="194"/>
      <c r="O17" s="35"/>
      <c r="P17" s="35"/>
      <c r="Q17" s="35"/>
      <c r="R17" s="35"/>
      <c r="S17" s="35"/>
      <c r="T17" s="35"/>
      <c r="U17" s="35"/>
      <c r="V17" s="35"/>
      <c r="W17" s="35"/>
      <c r="X17" s="35"/>
      <c r="Y17" s="35"/>
      <c r="Z17" s="35"/>
    </row>
    <row r="18" spans="2:26" ht="13.5" customHeight="1">
      <c r="B18" s="248" t="s">
        <v>42</v>
      </c>
      <c r="C18" s="199" t="e">
        <f>D18*E18</f>
        <v>#REF!</v>
      </c>
      <c r="D18" s="174">
        <v>250000</v>
      </c>
      <c r="E18" s="143" t="e">
        <f>ROUND(C4*0.02,0)</f>
        <v>#REF!</v>
      </c>
      <c r="F18" s="166" t="s">
        <v>610</v>
      </c>
      <c r="H18" s="1243" t="s">
        <v>0</v>
      </c>
      <c r="I18" s="1246" t="s">
        <v>43</v>
      </c>
      <c r="J18" s="1247"/>
      <c r="K18" s="1248" t="s">
        <v>44</v>
      </c>
      <c r="L18" s="1249"/>
      <c r="M18" s="532" t="s">
        <v>21</v>
      </c>
      <c r="N18" s="490" t="s">
        <v>5</v>
      </c>
      <c r="O18" s="490" t="s">
        <v>6</v>
      </c>
      <c r="P18" s="490" t="s">
        <v>7</v>
      </c>
      <c r="Q18" s="490" t="s">
        <v>8</v>
      </c>
      <c r="R18" s="490" t="s">
        <v>9</v>
      </c>
      <c r="S18" s="490" t="s">
        <v>10</v>
      </c>
      <c r="T18" s="490" t="s">
        <v>11</v>
      </c>
      <c r="U18" s="490" t="s">
        <v>12</v>
      </c>
      <c r="V18" s="490" t="s">
        <v>13</v>
      </c>
      <c r="W18" s="490" t="s">
        <v>14</v>
      </c>
      <c r="X18" s="490" t="s">
        <v>15</v>
      </c>
      <c r="Y18" s="1250" t="s">
        <v>45</v>
      </c>
      <c r="Z18" s="1251"/>
    </row>
    <row r="19" spans="2:26" ht="13.5" customHeight="1" thickBot="1">
      <c r="B19" s="249" t="s">
        <v>46</v>
      </c>
      <c r="C19" s="215"/>
      <c r="D19" s="184"/>
      <c r="E19" s="158"/>
      <c r="F19" s="168"/>
      <c r="H19" s="1244"/>
      <c r="I19" s="1226" t="s">
        <v>47</v>
      </c>
      <c r="J19" s="493" t="s">
        <v>114</v>
      </c>
      <c r="K19" s="1229">
        <f>Y19/8</f>
        <v>125.125</v>
      </c>
      <c r="L19" s="1230"/>
      <c r="M19" s="533">
        <f>Y19/12</f>
        <v>83.41666666666667</v>
      </c>
      <c r="N19" s="491">
        <f>Y19/12</f>
        <v>83.41666666666667</v>
      </c>
      <c r="O19" s="491">
        <f>Y19/12</f>
        <v>83.41666666666667</v>
      </c>
      <c r="P19" s="491">
        <f>Y19/12</f>
        <v>83.41666666666667</v>
      </c>
      <c r="Q19" s="491">
        <f>Y19/12</f>
        <v>83.41666666666667</v>
      </c>
      <c r="R19" s="491">
        <f>Y19/12</f>
        <v>83.41666666666667</v>
      </c>
      <c r="S19" s="491">
        <f>Y19/12</f>
        <v>83.41666666666667</v>
      </c>
      <c r="T19" s="491">
        <f>Y19/12</f>
        <v>83.41666666666667</v>
      </c>
      <c r="U19" s="491">
        <f>Y19/12</f>
        <v>83.41666666666667</v>
      </c>
      <c r="V19" s="491">
        <f>Y19/12</f>
        <v>83.41666666666667</v>
      </c>
      <c r="W19" s="491">
        <f>Y19/12</f>
        <v>83.41666666666667</v>
      </c>
      <c r="X19" s="491">
        <f>Y19/12</f>
        <v>83.41666666666667</v>
      </c>
      <c r="Y19" s="1231">
        <v>1001</v>
      </c>
      <c r="Z19" s="1232"/>
    </row>
    <row r="20" spans="2:26" ht="13.5" customHeight="1" thickBot="1">
      <c r="B20" s="171" t="s">
        <v>48</v>
      </c>
      <c r="C20" s="1233" t="e">
        <f>SUM(C14:C15)</f>
        <v>#REF!</v>
      </c>
      <c r="D20" s="1234"/>
      <c r="E20" s="159"/>
      <c r="F20" s="161"/>
      <c r="H20" s="1244"/>
      <c r="I20" s="1227"/>
      <c r="J20" s="489" t="s">
        <v>614</v>
      </c>
      <c r="K20" s="1214">
        <f>Y20/8</f>
        <v>125</v>
      </c>
      <c r="L20" s="1215"/>
      <c r="M20" s="534">
        <f>Y20/12</f>
        <v>83.33333333333333</v>
      </c>
      <c r="N20" s="492">
        <f>Y20/12</f>
        <v>83.33333333333333</v>
      </c>
      <c r="O20" s="492">
        <f>Y20/12</f>
        <v>83.33333333333333</v>
      </c>
      <c r="P20" s="492">
        <f>Y20/12</f>
        <v>83.33333333333333</v>
      </c>
      <c r="Q20" s="492">
        <f>Y20/12</f>
        <v>83.33333333333333</v>
      </c>
      <c r="R20" s="492">
        <f>Y20/12</f>
        <v>83.33333333333333</v>
      </c>
      <c r="S20" s="492">
        <f>Y20/12</f>
        <v>83.33333333333333</v>
      </c>
      <c r="T20" s="492">
        <f>Y20/12</f>
        <v>83.33333333333333</v>
      </c>
      <c r="U20" s="492">
        <f>Y20/12</f>
        <v>83.33333333333333</v>
      </c>
      <c r="V20" s="492">
        <f>Y20/12</f>
        <v>83.33333333333333</v>
      </c>
      <c r="W20" s="492">
        <f>Y20/12</f>
        <v>83.33333333333333</v>
      </c>
      <c r="X20" s="492">
        <f>Y20/12</f>
        <v>83.33333333333333</v>
      </c>
      <c r="Y20" s="1212">
        <v>1000</v>
      </c>
      <c r="Z20" s="1213"/>
    </row>
    <row r="21" spans="8:26" ht="13.5" customHeight="1">
      <c r="H21" s="1244"/>
      <c r="I21" s="1227"/>
      <c r="J21" s="489"/>
      <c r="K21" s="1214">
        <f>Y21/8</f>
        <v>0</v>
      </c>
      <c r="L21" s="1215"/>
      <c r="M21" s="534">
        <f>Y21/12</f>
        <v>0</v>
      </c>
      <c r="N21" s="492">
        <f>Y21/12</f>
        <v>0</v>
      </c>
      <c r="O21" s="492">
        <f>Y21/12</f>
        <v>0</v>
      </c>
      <c r="P21" s="492">
        <f>Y21/12</f>
        <v>0</v>
      </c>
      <c r="Q21" s="492">
        <f>Y21/12</f>
        <v>0</v>
      </c>
      <c r="R21" s="492">
        <f>Y21/12</f>
        <v>0</v>
      </c>
      <c r="S21" s="492">
        <f>Y21/12</f>
        <v>0</v>
      </c>
      <c r="T21" s="492">
        <f>Y21/12</f>
        <v>0</v>
      </c>
      <c r="U21" s="492">
        <f>Y21/12</f>
        <v>0</v>
      </c>
      <c r="V21" s="492">
        <f>Y21/12</f>
        <v>0</v>
      </c>
      <c r="W21" s="492">
        <f>Y21/12</f>
        <v>0</v>
      </c>
      <c r="X21" s="492">
        <f>Y21/12</f>
        <v>0</v>
      </c>
      <c r="Y21" s="1212"/>
      <c r="Z21" s="1213"/>
    </row>
    <row r="22" spans="1:26" ht="13.5" customHeight="1">
      <c r="A22" s="1220" t="s">
        <v>49</v>
      </c>
      <c r="B22" s="1221"/>
      <c r="C22" s="198" t="s">
        <v>34</v>
      </c>
      <c r="D22" s="607" t="s">
        <v>35</v>
      </c>
      <c r="E22" s="605" t="s">
        <v>36</v>
      </c>
      <c r="F22" s="608" t="s">
        <v>19</v>
      </c>
      <c r="H22" s="1244"/>
      <c r="I22" s="1227"/>
      <c r="J22" s="489"/>
      <c r="K22" s="1214">
        <f>Y22/8</f>
        <v>0</v>
      </c>
      <c r="L22" s="1215"/>
      <c r="M22" s="534">
        <f>Y22/12</f>
        <v>0</v>
      </c>
      <c r="N22" s="492">
        <f>Y22/12</f>
        <v>0</v>
      </c>
      <c r="O22" s="492">
        <f>Y22/12</f>
        <v>0</v>
      </c>
      <c r="P22" s="492">
        <f>Y22/12</f>
        <v>0</v>
      </c>
      <c r="Q22" s="492">
        <f>Y22/12</f>
        <v>0</v>
      </c>
      <c r="R22" s="492">
        <f>Y22/12</f>
        <v>0</v>
      </c>
      <c r="S22" s="492">
        <f>Y22/12</f>
        <v>0</v>
      </c>
      <c r="T22" s="492">
        <f>Y22/12</f>
        <v>0</v>
      </c>
      <c r="U22" s="492">
        <f>Y22/12</f>
        <v>0</v>
      </c>
      <c r="V22" s="492">
        <f>Y22/12</f>
        <v>0</v>
      </c>
      <c r="W22" s="492">
        <f>Y22/12</f>
        <v>0</v>
      </c>
      <c r="X22" s="492">
        <f>Y22/12</f>
        <v>0</v>
      </c>
      <c r="Y22" s="1212"/>
      <c r="Z22" s="1213"/>
    </row>
    <row r="23" spans="1:26" ht="13.5" customHeight="1">
      <c r="A23" s="1222" t="s">
        <v>50</v>
      </c>
      <c r="B23" s="139" t="s">
        <v>51</v>
      </c>
      <c r="C23" s="196" t="e">
        <f>D23*E23</f>
        <v>#REF!</v>
      </c>
      <c r="D23" s="181">
        <v>7250</v>
      </c>
      <c r="E23" s="140" t="e">
        <f>C4</f>
        <v>#REF!</v>
      </c>
      <c r="F23" s="383"/>
      <c r="H23" s="1244"/>
      <c r="I23" s="1228"/>
      <c r="J23" s="609" t="s">
        <v>52</v>
      </c>
      <c r="K23" s="1216">
        <f>SUM(K19:L22)</f>
        <v>250.125</v>
      </c>
      <c r="L23" s="1217"/>
      <c r="M23" s="535">
        <f aca="true" t="shared" si="3" ref="M23:X23">SUM(M19:M22)</f>
        <v>166.75</v>
      </c>
      <c r="N23" s="487">
        <f t="shared" si="3"/>
        <v>166.75</v>
      </c>
      <c r="O23" s="487">
        <f t="shared" si="3"/>
        <v>166.75</v>
      </c>
      <c r="P23" s="487">
        <f t="shared" si="3"/>
        <v>166.75</v>
      </c>
      <c r="Q23" s="487">
        <f t="shared" si="3"/>
        <v>166.75</v>
      </c>
      <c r="R23" s="487">
        <f t="shared" si="3"/>
        <v>166.75</v>
      </c>
      <c r="S23" s="487">
        <f t="shared" si="3"/>
        <v>166.75</v>
      </c>
      <c r="T23" s="487">
        <f t="shared" si="3"/>
        <v>166.75</v>
      </c>
      <c r="U23" s="487">
        <f t="shared" si="3"/>
        <v>166.75</v>
      </c>
      <c r="V23" s="487">
        <f t="shared" si="3"/>
        <v>166.75</v>
      </c>
      <c r="W23" s="487">
        <f t="shared" si="3"/>
        <v>166.75</v>
      </c>
      <c r="X23" s="487">
        <f t="shared" si="3"/>
        <v>166.75</v>
      </c>
      <c r="Y23" s="1218">
        <f>SUM(Y19:Z22)</f>
        <v>2001</v>
      </c>
      <c r="Z23" s="1219"/>
    </row>
    <row r="24" spans="1:26" ht="13.5" customHeight="1">
      <c r="A24" s="1223"/>
      <c r="B24" s="142" t="s">
        <v>53</v>
      </c>
      <c r="C24" s="197" t="e">
        <f>SUM(C25:C26)</f>
        <v>#REF!</v>
      </c>
      <c r="D24" s="174"/>
      <c r="E24" s="143"/>
      <c r="F24" s="144"/>
      <c r="H24" s="1244"/>
      <c r="I24" s="1226" t="s">
        <v>54</v>
      </c>
      <c r="J24" s="493"/>
      <c r="K24" s="1229">
        <f>Y24/8</f>
        <v>0</v>
      </c>
      <c r="L24" s="1230"/>
      <c r="M24" s="533">
        <f>Y24/12</f>
        <v>0</v>
      </c>
      <c r="N24" s="491">
        <f>Y24/12</f>
        <v>0</v>
      </c>
      <c r="O24" s="491">
        <f>Y24/12</f>
        <v>0</v>
      </c>
      <c r="P24" s="491">
        <f>Y24/12</f>
        <v>0</v>
      </c>
      <c r="Q24" s="491">
        <f>Y24/12</f>
        <v>0</v>
      </c>
      <c r="R24" s="491">
        <f>Y24/12</f>
        <v>0</v>
      </c>
      <c r="S24" s="491">
        <f>Y24/12</f>
        <v>0</v>
      </c>
      <c r="T24" s="491">
        <f>Y24/12</f>
        <v>0</v>
      </c>
      <c r="U24" s="491">
        <f>Y24/12</f>
        <v>0</v>
      </c>
      <c r="V24" s="491">
        <f>Y24/12</f>
        <v>0</v>
      </c>
      <c r="W24" s="491">
        <f>Y24/12</f>
        <v>0</v>
      </c>
      <c r="X24" s="491">
        <f>Y24/12</f>
        <v>0</v>
      </c>
      <c r="Y24" s="1231"/>
      <c r="Z24" s="1232"/>
    </row>
    <row r="25" spans="1:26" ht="13.5" customHeight="1">
      <c r="A25" s="1223"/>
      <c r="B25" s="250" t="s">
        <v>55</v>
      </c>
      <c r="C25" s="199" t="e">
        <f>D25*E25</f>
        <v>#REF!</v>
      </c>
      <c r="D25" s="174">
        <v>38893</v>
      </c>
      <c r="E25" s="143" t="e">
        <f>C4</f>
        <v>#REF!</v>
      </c>
      <c r="F25" s="144"/>
      <c r="H25" s="1244"/>
      <c r="I25" s="1227"/>
      <c r="J25" s="489"/>
      <c r="K25" s="1214">
        <f>Y25/8</f>
        <v>0</v>
      </c>
      <c r="L25" s="1215"/>
      <c r="M25" s="534">
        <f>Y25/12</f>
        <v>0</v>
      </c>
      <c r="N25" s="492">
        <f>Y25/12</f>
        <v>0</v>
      </c>
      <c r="O25" s="492">
        <f>Y25/12</f>
        <v>0</v>
      </c>
      <c r="P25" s="492">
        <f>Y25/12</f>
        <v>0</v>
      </c>
      <c r="Q25" s="492">
        <f>Y25/12</f>
        <v>0</v>
      </c>
      <c r="R25" s="492">
        <f>Y25/12</f>
        <v>0</v>
      </c>
      <c r="S25" s="492">
        <f>Y25/12</f>
        <v>0</v>
      </c>
      <c r="T25" s="492">
        <f>Y25/12</f>
        <v>0</v>
      </c>
      <c r="U25" s="492">
        <f>Y25/12</f>
        <v>0</v>
      </c>
      <c r="V25" s="492">
        <f>Y25/12</f>
        <v>0</v>
      </c>
      <c r="W25" s="492">
        <f>Y25/12</f>
        <v>0</v>
      </c>
      <c r="X25" s="492">
        <f>Y25/12</f>
        <v>0</v>
      </c>
      <c r="Y25" s="1212"/>
      <c r="Z25" s="1213"/>
    </row>
    <row r="26" spans="1:26" ht="13.5" customHeight="1">
      <c r="A26" s="1223"/>
      <c r="B26" s="250" t="s">
        <v>56</v>
      </c>
      <c r="C26" s="199" t="e">
        <f>D26*E26</f>
        <v>#REF!</v>
      </c>
      <c r="D26" s="182">
        <v>36453</v>
      </c>
      <c r="E26" s="143" t="e">
        <f>C4</f>
        <v>#REF!</v>
      </c>
      <c r="F26" s="144"/>
      <c r="H26" s="1244"/>
      <c r="I26" s="1227"/>
      <c r="J26" s="489"/>
      <c r="K26" s="1214">
        <f>Y26/8</f>
        <v>0</v>
      </c>
      <c r="L26" s="1215"/>
      <c r="M26" s="534">
        <f>Y26/12</f>
        <v>0</v>
      </c>
      <c r="N26" s="492">
        <f>Y26/12</f>
        <v>0</v>
      </c>
      <c r="O26" s="492">
        <f>Y26/12</f>
        <v>0</v>
      </c>
      <c r="P26" s="492">
        <f>Y26/12</f>
        <v>0</v>
      </c>
      <c r="Q26" s="492">
        <f>Y26/12</f>
        <v>0</v>
      </c>
      <c r="R26" s="492">
        <f>Y26/12</f>
        <v>0</v>
      </c>
      <c r="S26" s="492">
        <f>Y26/12</f>
        <v>0</v>
      </c>
      <c r="T26" s="492">
        <f>Y26/12</f>
        <v>0</v>
      </c>
      <c r="U26" s="492">
        <f>Y26/12</f>
        <v>0</v>
      </c>
      <c r="V26" s="492">
        <f>Y26/12</f>
        <v>0</v>
      </c>
      <c r="W26" s="492">
        <f>Y26/12</f>
        <v>0</v>
      </c>
      <c r="X26" s="492">
        <f>Y26/12</f>
        <v>0</v>
      </c>
      <c r="Y26" s="1212"/>
      <c r="Z26" s="1213"/>
    </row>
    <row r="27" spans="1:26" ht="13.5" customHeight="1">
      <c r="A27" s="1223"/>
      <c r="B27" s="142" t="s">
        <v>57</v>
      </c>
      <c r="C27" s="197">
        <f aca="true" t="shared" si="4" ref="C27:C39">D27*E27</f>
        <v>0</v>
      </c>
      <c r="D27" s="174">
        <v>1200</v>
      </c>
      <c r="E27" s="143">
        <f>Z9</f>
        <v>0</v>
      </c>
      <c r="F27" s="144" t="s">
        <v>58</v>
      </c>
      <c r="H27" s="1244"/>
      <c r="I27" s="1227"/>
      <c r="J27" s="489"/>
      <c r="K27" s="1214">
        <f>Y27/8</f>
        <v>0</v>
      </c>
      <c r="L27" s="1215"/>
      <c r="M27" s="534">
        <f>Y27/12</f>
        <v>0</v>
      </c>
      <c r="N27" s="492">
        <f>Y27/12</f>
        <v>0</v>
      </c>
      <c r="O27" s="492">
        <f>Y27/12</f>
        <v>0</v>
      </c>
      <c r="P27" s="492">
        <f>Y27/12</f>
        <v>0</v>
      </c>
      <c r="Q27" s="492">
        <f>Y27/12</f>
        <v>0</v>
      </c>
      <c r="R27" s="492">
        <f>Y27/12</f>
        <v>0</v>
      </c>
      <c r="S27" s="492">
        <f>Y27/12</f>
        <v>0</v>
      </c>
      <c r="T27" s="492">
        <f>Y27/12</f>
        <v>0</v>
      </c>
      <c r="U27" s="492">
        <f>Y27/12</f>
        <v>0</v>
      </c>
      <c r="V27" s="492">
        <f>Y27/12</f>
        <v>0</v>
      </c>
      <c r="W27" s="492">
        <f>Y27/12</f>
        <v>0</v>
      </c>
      <c r="X27" s="492">
        <f>Y27/12</f>
        <v>0</v>
      </c>
      <c r="Y27" s="1212"/>
      <c r="Z27" s="1213"/>
    </row>
    <row r="28" spans="1:26" ht="13.5" customHeight="1">
      <c r="A28" s="1223"/>
      <c r="B28" s="142" t="s">
        <v>59</v>
      </c>
      <c r="C28" s="197" t="e">
        <f t="shared" si="4"/>
        <v>#REF!</v>
      </c>
      <c r="D28" s="174">
        <v>3000</v>
      </c>
      <c r="E28" s="143" t="e">
        <f>C4</f>
        <v>#REF!</v>
      </c>
      <c r="F28" s="144"/>
      <c r="H28" s="1244"/>
      <c r="I28" s="1228"/>
      <c r="J28" s="609" t="s">
        <v>52</v>
      </c>
      <c r="K28" s="1216">
        <f>SUM(K24:L27)</f>
        <v>0</v>
      </c>
      <c r="L28" s="1217"/>
      <c r="M28" s="535">
        <f aca="true" t="shared" si="5" ref="M28:X28">SUM(M24:M27)</f>
        <v>0</v>
      </c>
      <c r="N28" s="487">
        <f t="shared" si="5"/>
        <v>0</v>
      </c>
      <c r="O28" s="487">
        <f t="shared" si="5"/>
        <v>0</v>
      </c>
      <c r="P28" s="487">
        <f t="shared" si="5"/>
        <v>0</v>
      </c>
      <c r="Q28" s="487">
        <f t="shared" si="5"/>
        <v>0</v>
      </c>
      <c r="R28" s="487">
        <f t="shared" si="5"/>
        <v>0</v>
      </c>
      <c r="S28" s="487">
        <f t="shared" si="5"/>
        <v>0</v>
      </c>
      <c r="T28" s="487">
        <f t="shared" si="5"/>
        <v>0</v>
      </c>
      <c r="U28" s="487">
        <f t="shared" si="5"/>
        <v>0</v>
      </c>
      <c r="V28" s="487">
        <f t="shared" si="5"/>
        <v>0</v>
      </c>
      <c r="W28" s="487">
        <f t="shared" si="5"/>
        <v>0</v>
      </c>
      <c r="X28" s="487">
        <f t="shared" si="5"/>
        <v>0</v>
      </c>
      <c r="Y28" s="1218">
        <f>SUM(Y24:Z27)</f>
        <v>0</v>
      </c>
      <c r="Z28" s="1219"/>
    </row>
    <row r="29" spans="1:26" ht="13.5" customHeight="1">
      <c r="A29" s="1223"/>
      <c r="B29" s="142" t="s">
        <v>60</v>
      </c>
      <c r="C29" s="197" t="e">
        <f t="shared" si="4"/>
        <v>#REF!</v>
      </c>
      <c r="D29" s="174">
        <v>2391</v>
      </c>
      <c r="E29" s="143" t="e">
        <f>C4</f>
        <v>#REF!</v>
      </c>
      <c r="F29" s="144"/>
      <c r="H29" s="1245"/>
      <c r="I29" s="1199" t="s">
        <v>22</v>
      </c>
      <c r="J29" s="1200"/>
      <c r="K29" s="1201">
        <f>SUM(K23,K28)</f>
        <v>250.125</v>
      </c>
      <c r="L29" s="1202"/>
      <c r="M29" s="536">
        <f aca="true" t="shared" si="6" ref="M29:X29">M23+M28</f>
        <v>166.75</v>
      </c>
      <c r="N29" s="494">
        <f t="shared" si="6"/>
        <v>166.75</v>
      </c>
      <c r="O29" s="494">
        <f t="shared" si="6"/>
        <v>166.75</v>
      </c>
      <c r="P29" s="494">
        <f t="shared" si="6"/>
        <v>166.75</v>
      </c>
      <c r="Q29" s="494">
        <f t="shared" si="6"/>
        <v>166.75</v>
      </c>
      <c r="R29" s="494">
        <f t="shared" si="6"/>
        <v>166.75</v>
      </c>
      <c r="S29" s="494">
        <f t="shared" si="6"/>
        <v>166.75</v>
      </c>
      <c r="T29" s="494">
        <f t="shared" si="6"/>
        <v>166.75</v>
      </c>
      <c r="U29" s="494">
        <f t="shared" si="6"/>
        <v>166.75</v>
      </c>
      <c r="V29" s="494">
        <f t="shared" si="6"/>
        <v>166.75</v>
      </c>
      <c r="W29" s="494">
        <f t="shared" si="6"/>
        <v>166.75</v>
      </c>
      <c r="X29" s="494">
        <f t="shared" si="6"/>
        <v>166.75</v>
      </c>
      <c r="Y29" s="1203">
        <f>SUM(M29:X29)</f>
        <v>2001</v>
      </c>
      <c r="Z29" s="1204"/>
    </row>
    <row r="30" spans="1:6" ht="13.5" customHeight="1">
      <c r="A30" s="1223"/>
      <c r="B30" s="142" t="s">
        <v>61</v>
      </c>
      <c r="C30" s="197" t="e">
        <f t="shared" si="4"/>
        <v>#REF!</v>
      </c>
      <c r="D30" s="174">
        <v>12741</v>
      </c>
      <c r="E30" s="143" t="e">
        <f>C4</f>
        <v>#REF!</v>
      </c>
      <c r="F30" s="144"/>
    </row>
    <row r="31" spans="1:6" ht="13.5" customHeight="1">
      <c r="A31" s="1223"/>
      <c r="B31" s="142" t="s">
        <v>62</v>
      </c>
      <c r="C31" s="197" t="e">
        <f t="shared" si="4"/>
        <v>#REF!</v>
      </c>
      <c r="D31" s="174">
        <v>116800</v>
      </c>
      <c r="E31" s="143" t="e">
        <f>C4</f>
        <v>#REF!</v>
      </c>
      <c r="F31" s="144"/>
    </row>
    <row r="32" spans="1:6" ht="13.5" customHeight="1">
      <c r="A32" s="1223"/>
      <c r="B32" s="142" t="s">
        <v>63</v>
      </c>
      <c r="C32" s="197" t="e">
        <f t="shared" si="4"/>
        <v>#REF!</v>
      </c>
      <c r="D32" s="174">
        <v>7900</v>
      </c>
      <c r="E32" s="143" t="e">
        <f>C4</f>
        <v>#REF!</v>
      </c>
      <c r="F32" s="144"/>
    </row>
    <row r="33" spans="1:6" ht="13.5" customHeight="1">
      <c r="A33" s="1223"/>
      <c r="B33" s="142" t="s">
        <v>64</v>
      </c>
      <c r="C33" s="197" t="e">
        <f t="shared" si="4"/>
        <v>#REF!</v>
      </c>
      <c r="D33" s="174">
        <v>1080</v>
      </c>
      <c r="E33" s="143" t="e">
        <f>C4</f>
        <v>#REF!</v>
      </c>
      <c r="F33" s="144"/>
    </row>
    <row r="34" spans="1:6" ht="13.5" customHeight="1">
      <c r="A34" s="1223"/>
      <c r="B34" s="142" t="s">
        <v>65</v>
      </c>
      <c r="C34" s="197" t="e">
        <f t="shared" si="4"/>
        <v>#REF!</v>
      </c>
      <c r="D34" s="174">
        <v>540</v>
      </c>
      <c r="E34" s="143" t="e">
        <f>C4</f>
        <v>#REF!</v>
      </c>
      <c r="F34" s="144"/>
    </row>
    <row r="35" spans="1:6" ht="13.5" customHeight="1">
      <c r="A35" s="1223"/>
      <c r="B35" s="142" t="s">
        <v>66</v>
      </c>
      <c r="C35" s="197" t="e">
        <f t="shared" si="4"/>
        <v>#REF!</v>
      </c>
      <c r="D35" s="174">
        <v>2300</v>
      </c>
      <c r="E35" s="143" t="e">
        <f>C9</f>
        <v>#REF!</v>
      </c>
      <c r="F35" s="144"/>
    </row>
    <row r="36" spans="1:6" ht="13.5" customHeight="1">
      <c r="A36" s="1223"/>
      <c r="B36" s="146" t="s">
        <v>67</v>
      </c>
      <c r="C36" s="200" t="e">
        <f t="shared" si="4"/>
        <v>#REF!</v>
      </c>
      <c r="D36" s="183">
        <v>6700</v>
      </c>
      <c r="E36" s="147" t="e">
        <f>ROUNDDOWN(C4*D4,0)</f>
        <v>#REF!</v>
      </c>
      <c r="F36" s="148" t="s">
        <v>68</v>
      </c>
    </row>
    <row r="37" spans="1:6" ht="13.5" customHeight="1">
      <c r="A37" s="1223"/>
      <c r="B37" s="146" t="s">
        <v>69</v>
      </c>
      <c r="C37" s="200" t="e">
        <f t="shared" si="4"/>
        <v>#REF!</v>
      </c>
      <c r="D37" s="183">
        <v>3240</v>
      </c>
      <c r="E37" s="147" t="e">
        <f>C4</f>
        <v>#REF!</v>
      </c>
      <c r="F37" s="148"/>
    </row>
    <row r="38" spans="1:6" ht="13.5" customHeight="1">
      <c r="A38" s="1223"/>
      <c r="B38" s="146" t="s">
        <v>70</v>
      </c>
      <c r="C38" s="197">
        <f t="shared" si="4"/>
        <v>0</v>
      </c>
      <c r="D38" s="174">
        <v>372000</v>
      </c>
      <c r="E38" s="145">
        <v>0</v>
      </c>
      <c r="F38" s="148" t="s">
        <v>641</v>
      </c>
    </row>
    <row r="39" spans="1:6" ht="13.5" customHeight="1">
      <c r="A39" s="1223"/>
      <c r="B39" s="172" t="s">
        <v>71</v>
      </c>
      <c r="C39" s="201" t="e">
        <f t="shared" si="4"/>
        <v>#REF!</v>
      </c>
      <c r="D39" s="184">
        <v>1080</v>
      </c>
      <c r="E39" s="170" t="e">
        <f>C4</f>
        <v>#REF!</v>
      </c>
      <c r="F39" s="173"/>
    </row>
    <row r="40" spans="1:6" ht="13.5" customHeight="1">
      <c r="A40" s="1224"/>
      <c r="B40" s="146"/>
      <c r="C40" s="200"/>
      <c r="D40" s="183"/>
      <c r="E40" s="147"/>
      <c r="F40" s="148"/>
    </row>
    <row r="41" spans="1:6" ht="13.5" customHeight="1">
      <c r="A41" s="1224"/>
      <c r="B41" s="385"/>
      <c r="C41" s="386"/>
      <c r="D41" s="387"/>
      <c r="E41" s="388"/>
      <c r="F41" s="389"/>
    </row>
    <row r="42" spans="1:6" ht="13.5" customHeight="1">
      <c r="A42" s="1225"/>
      <c r="B42" s="602" t="s">
        <v>72</v>
      </c>
      <c r="C42" s="615" t="e">
        <f>SUM(C23:C24,C27:C41)</f>
        <v>#REF!</v>
      </c>
      <c r="D42" s="616"/>
      <c r="E42" s="617"/>
      <c r="F42" s="618"/>
    </row>
    <row r="43" spans="1:6" ht="13.5" customHeight="1">
      <c r="A43" s="1188" t="s">
        <v>73</v>
      </c>
      <c r="B43" s="1189"/>
      <c r="C43" s="202" t="e">
        <f>D43*E43</f>
        <v>#REF!</v>
      </c>
      <c r="D43" s="185">
        <v>537507</v>
      </c>
      <c r="E43" s="150" t="e">
        <f>ROUNDDOWN(C4*D4,0)</f>
        <v>#REF!</v>
      </c>
      <c r="F43" s="151"/>
    </row>
    <row r="44" spans="1:6" ht="13.5" customHeight="1">
      <c r="A44" s="1205" t="s">
        <v>74</v>
      </c>
      <c r="B44" s="1206"/>
      <c r="C44" s="203" t="e">
        <f>C42-C43</f>
        <v>#REF!</v>
      </c>
      <c r="D44" s="210"/>
      <c r="E44" s="152"/>
      <c r="F44" s="153"/>
    </row>
    <row r="45" spans="1:6" ht="13.5" customHeight="1">
      <c r="A45" s="1207" t="s">
        <v>75</v>
      </c>
      <c r="B45" s="139" t="s">
        <v>76</v>
      </c>
      <c r="C45" s="204" t="e">
        <f>SUM(C46:C47)</f>
        <v>#REF!</v>
      </c>
      <c r="D45" s="186"/>
      <c r="E45" s="154"/>
      <c r="F45" s="155"/>
    </row>
    <row r="46" spans="1:6" ht="13.5" customHeight="1">
      <c r="A46" s="1208"/>
      <c r="B46" s="251" t="s">
        <v>77</v>
      </c>
      <c r="C46" s="199" t="e">
        <f>D46*E46</f>
        <v>#REF!</v>
      </c>
      <c r="D46" s="174">
        <v>7440</v>
      </c>
      <c r="E46" s="143" t="e">
        <f>C10</f>
        <v>#REF!</v>
      </c>
      <c r="F46" s="603" t="s">
        <v>78</v>
      </c>
    </row>
    <row r="47" spans="1:6" ht="13.5" customHeight="1">
      <c r="A47" s="1208"/>
      <c r="B47" s="251" t="s">
        <v>79</v>
      </c>
      <c r="C47" s="199" t="e">
        <f>D47*E47</f>
        <v>#REF!</v>
      </c>
      <c r="D47" s="174">
        <v>1510</v>
      </c>
      <c r="E47" s="143" t="e">
        <f>C10</f>
        <v>#REF!</v>
      </c>
      <c r="F47" s="603"/>
    </row>
    <row r="48" spans="1:6" ht="13.5" customHeight="1">
      <c r="A48" s="1208"/>
      <c r="B48" s="146" t="s">
        <v>80</v>
      </c>
      <c r="C48" s="200" t="e">
        <f>D48*E48</f>
        <v>#REF!</v>
      </c>
      <c r="D48" s="183">
        <v>7885</v>
      </c>
      <c r="E48" s="147" t="e">
        <f>C4</f>
        <v>#REF!</v>
      </c>
      <c r="F48" s="148"/>
    </row>
    <row r="49" spans="1:6" ht="13.5" customHeight="1">
      <c r="A49" s="1208"/>
      <c r="B49" s="146" t="s">
        <v>81</v>
      </c>
      <c r="C49" s="197" t="e">
        <f>SUM(C50:C52)</f>
        <v>#REF!</v>
      </c>
      <c r="D49" s="174"/>
      <c r="E49" s="143"/>
      <c r="F49" s="1210"/>
    </row>
    <row r="50" spans="1:6" ht="13.5" customHeight="1">
      <c r="A50" s="1208"/>
      <c r="B50" s="251" t="s">
        <v>82</v>
      </c>
      <c r="C50" s="199" t="e">
        <f>D50*E50</f>
        <v>#REF!</v>
      </c>
      <c r="D50" s="174">
        <v>717</v>
      </c>
      <c r="E50" s="143" t="e">
        <f>C4</f>
        <v>#REF!</v>
      </c>
      <c r="F50" s="1210"/>
    </row>
    <row r="51" spans="1:6" ht="13.5" customHeight="1">
      <c r="A51" s="1208"/>
      <c r="B51" s="251" t="s">
        <v>83</v>
      </c>
      <c r="C51" s="199" t="e">
        <f>D51*E51</f>
        <v>#REF!</v>
      </c>
      <c r="D51" s="174"/>
      <c r="E51" s="143" t="e">
        <f>C4</f>
        <v>#REF!</v>
      </c>
      <c r="F51" s="1210"/>
    </row>
    <row r="52" spans="1:6" ht="13.5" customHeight="1">
      <c r="A52" s="1209"/>
      <c r="B52" s="252" t="s">
        <v>84</v>
      </c>
      <c r="C52" s="205" t="e">
        <f>D52*E52</f>
        <v>#REF!</v>
      </c>
      <c r="D52" s="211">
        <v>6811</v>
      </c>
      <c r="E52" s="158" t="e">
        <f>C4</f>
        <v>#REF!</v>
      </c>
      <c r="F52" s="1211"/>
    </row>
    <row r="53" spans="1:6" ht="13.5" customHeight="1">
      <c r="A53" s="1188" t="s">
        <v>85</v>
      </c>
      <c r="B53" s="1189"/>
      <c r="C53" s="206" t="e">
        <f>SUM(C45,C48,C49)</f>
        <v>#REF!</v>
      </c>
      <c r="D53" s="212"/>
      <c r="E53" s="159"/>
      <c r="F53" s="160"/>
    </row>
    <row r="54" spans="1:6" ht="13.5" customHeight="1">
      <c r="A54" s="1190" t="s">
        <v>86</v>
      </c>
      <c r="B54" s="139" t="s">
        <v>642</v>
      </c>
      <c r="C54" s="196" t="e">
        <f>D54*E54</f>
        <v>#REF!</v>
      </c>
      <c r="D54" s="181">
        <v>2475</v>
      </c>
      <c r="E54" s="140" t="e">
        <f>C9</f>
        <v>#REF!</v>
      </c>
      <c r="F54" s="141"/>
    </row>
    <row r="55" spans="1:6" ht="13.5" customHeight="1">
      <c r="A55" s="1191"/>
      <c r="B55" s="146" t="s">
        <v>87</v>
      </c>
      <c r="C55" s="197" t="e">
        <f>D55*E55</f>
        <v>#REF!</v>
      </c>
      <c r="D55" s="174">
        <v>9085</v>
      </c>
      <c r="E55" s="143" t="e">
        <f>C4</f>
        <v>#REF!</v>
      </c>
      <c r="F55" s="148"/>
    </row>
    <row r="56" spans="1:6" ht="13.5" customHeight="1">
      <c r="A56" s="1191"/>
      <c r="B56" s="146" t="s">
        <v>88</v>
      </c>
      <c r="C56" s="197" t="e">
        <f>D56*E56</f>
        <v>#REF!</v>
      </c>
      <c r="D56" s="174">
        <v>0</v>
      </c>
      <c r="E56" s="143" t="e">
        <f>ROUNDDOWN(C4*0.15,0)</f>
        <v>#REF!</v>
      </c>
      <c r="F56" s="148"/>
    </row>
    <row r="57" spans="1:6" ht="13.5" customHeight="1">
      <c r="A57" s="1192"/>
      <c r="B57" s="157" t="s">
        <v>89</v>
      </c>
      <c r="C57" s="207">
        <v>0</v>
      </c>
      <c r="D57" s="211"/>
      <c r="E57" s="158"/>
      <c r="F57" s="149"/>
    </row>
    <row r="58" spans="1:6" ht="13.5" customHeight="1" thickBot="1">
      <c r="A58" s="1193" t="s">
        <v>90</v>
      </c>
      <c r="B58" s="1194"/>
      <c r="C58" s="208" t="e">
        <f>SUM(C54:C57)</f>
        <v>#REF!</v>
      </c>
      <c r="D58" s="212"/>
      <c r="E58" s="159"/>
      <c r="F58" s="153"/>
    </row>
    <row r="59" spans="1:6" ht="13.5" customHeight="1" thickBot="1">
      <c r="A59" s="1195" t="s">
        <v>91</v>
      </c>
      <c r="B59" s="1196"/>
      <c r="C59" s="1197" t="e">
        <f>C58+C53+C44</f>
        <v>#REF!</v>
      </c>
      <c r="D59" s="1198"/>
      <c r="E59" s="161"/>
      <c r="F59" s="162"/>
    </row>
    <row r="60" spans="3:5" ht="6" customHeight="1" thickBot="1">
      <c r="C60" s="209"/>
      <c r="D60" s="187"/>
      <c r="E60" s="78"/>
    </row>
    <row r="61" spans="1:5" ht="13.5" customHeight="1" thickBot="1">
      <c r="A61" s="1195" t="s">
        <v>92</v>
      </c>
      <c r="B61" s="1196"/>
      <c r="C61" s="1197" t="e">
        <f>C20-C59</f>
        <v>#REF!</v>
      </c>
      <c r="D61" s="1198"/>
      <c r="E61" s="78"/>
    </row>
  </sheetData>
  <sheetProtection/>
  <mergeCells count="69">
    <mergeCell ref="B1:F1"/>
    <mergeCell ref="H1:L2"/>
    <mergeCell ref="D3:F3"/>
    <mergeCell ref="H3:H9"/>
    <mergeCell ref="I3:J3"/>
    <mergeCell ref="K3:L3"/>
    <mergeCell ref="D6:F6"/>
    <mergeCell ref="I6:J6"/>
    <mergeCell ref="Y3:Z3"/>
    <mergeCell ref="D4:F4"/>
    <mergeCell ref="I4:J4"/>
    <mergeCell ref="Y4:Z4"/>
    <mergeCell ref="D5:F5"/>
    <mergeCell ref="I5:J5"/>
    <mergeCell ref="Y5:Z5"/>
    <mergeCell ref="Y6:Z6"/>
    <mergeCell ref="D7:F7"/>
    <mergeCell ref="I7:J7"/>
    <mergeCell ref="D8:F8"/>
    <mergeCell ref="I8:L8"/>
    <mergeCell ref="D9:F9"/>
    <mergeCell ref="I9:L9"/>
    <mergeCell ref="D10:F10"/>
    <mergeCell ref="W11:Z11"/>
    <mergeCell ref="W12:Y12"/>
    <mergeCell ref="H16:L17"/>
    <mergeCell ref="H18:H29"/>
    <mergeCell ref="I18:J18"/>
    <mergeCell ref="K18:L18"/>
    <mergeCell ref="Y18:Z18"/>
    <mergeCell ref="I19:I23"/>
    <mergeCell ref="K19:L19"/>
    <mergeCell ref="Y19:Z19"/>
    <mergeCell ref="C20:D20"/>
    <mergeCell ref="K20:L20"/>
    <mergeCell ref="Y20:Z20"/>
    <mergeCell ref="K21:L21"/>
    <mergeCell ref="Y21:Z21"/>
    <mergeCell ref="A22:B22"/>
    <mergeCell ref="K22:L22"/>
    <mergeCell ref="Y22:Z22"/>
    <mergeCell ref="A23:A42"/>
    <mergeCell ref="K23:L23"/>
    <mergeCell ref="Y23:Z23"/>
    <mergeCell ref="I24:I28"/>
    <mergeCell ref="K24:L24"/>
    <mergeCell ref="Y24:Z24"/>
    <mergeCell ref="K25:L25"/>
    <mergeCell ref="Y25:Z25"/>
    <mergeCell ref="K26:L26"/>
    <mergeCell ref="Y26:Z26"/>
    <mergeCell ref="K27:L27"/>
    <mergeCell ref="Y27:Z27"/>
    <mergeCell ref="K28:L28"/>
    <mergeCell ref="Y28:Z28"/>
    <mergeCell ref="I29:J29"/>
    <mergeCell ref="K29:L29"/>
    <mergeCell ref="Y29:Z29"/>
    <mergeCell ref="A43:B43"/>
    <mergeCell ref="A44:B44"/>
    <mergeCell ref="A45:A52"/>
    <mergeCell ref="F49:F52"/>
    <mergeCell ref="A53:B53"/>
    <mergeCell ref="A54:A57"/>
    <mergeCell ref="A58:B58"/>
    <mergeCell ref="A59:B59"/>
    <mergeCell ref="C59:D59"/>
    <mergeCell ref="A61:B61"/>
    <mergeCell ref="C61:D61"/>
  </mergeCells>
  <conditionalFormatting sqref="C51">
    <cfRule type="expression" priority="2" dxfId="5">
      <formula>$C$51=0</formula>
    </cfRule>
  </conditionalFormatting>
  <conditionalFormatting sqref="C26">
    <cfRule type="cellIs" priority="1" dxfId="6" operator="lessThan" stopIfTrue="1">
      <formula>1</formula>
    </cfRule>
  </conditionalFormatting>
  <printOptions/>
  <pageMargins left="0.68" right="0.4" top="0.3937007874015748" bottom="0.16" header="0.5118110236220472" footer="0.16"/>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0070C0"/>
  </sheetPr>
  <dimension ref="A1:Z50"/>
  <sheetViews>
    <sheetView zoomScale="90" zoomScaleNormal="90" zoomScalePageLayoutView="0" workbookViewId="0" topLeftCell="A1">
      <selection activeCell="C5" sqref="C5"/>
    </sheetView>
  </sheetViews>
  <sheetFormatPr defaultColWidth="9.00390625" defaultRowHeight="15.75" customHeight="1"/>
  <cols>
    <col min="1" max="1" width="3.25390625" style="223" customWidth="1"/>
    <col min="2" max="2" width="20.75390625" style="223" bestFit="1" customWidth="1"/>
    <col min="3" max="3" width="11.00390625" style="223" bestFit="1" customWidth="1"/>
    <col min="4" max="4" width="8.50390625" style="223" bestFit="1" customWidth="1"/>
    <col min="5" max="5" width="12.125" style="223" bestFit="1" customWidth="1"/>
    <col min="6" max="6" width="35.125" style="223" customWidth="1"/>
    <col min="7" max="7" width="3.875" style="134" customWidth="1"/>
    <col min="8" max="8" width="2.625" style="5" bestFit="1" customWidth="1"/>
    <col min="9" max="9" width="6.25390625" style="5" customWidth="1"/>
    <col min="10" max="10" width="5.625" style="5" customWidth="1"/>
    <col min="11" max="11" width="5.375" style="5" customWidth="1"/>
    <col min="12" max="12" width="3.125" style="5" bestFit="1" customWidth="1"/>
    <col min="13" max="24" width="4.875" style="5" customWidth="1"/>
    <col min="25" max="25" width="2.50390625" style="5" customWidth="1"/>
    <col min="26" max="26" width="6.75390625" style="5" customWidth="1"/>
    <col min="27" max="16384" width="9.00390625" style="223" customWidth="1"/>
  </cols>
  <sheetData>
    <row r="1" spans="1:12" ht="14.25">
      <c r="A1" s="135"/>
      <c r="B1" s="1287" t="s">
        <v>630</v>
      </c>
      <c r="C1" s="1287"/>
      <c r="D1" s="1287"/>
      <c r="E1" s="1287"/>
      <c r="F1" s="1287"/>
      <c r="H1" s="1317" t="s">
        <v>16</v>
      </c>
      <c r="I1" s="1317"/>
      <c r="J1" s="1317"/>
      <c r="K1" s="1317"/>
      <c r="L1" s="1317"/>
    </row>
    <row r="2" spans="1:26" ht="15.75" customHeight="1">
      <c r="A2" s="135"/>
      <c r="B2" s="135"/>
      <c r="C2" s="135"/>
      <c r="D2" s="135"/>
      <c r="E2" s="135"/>
      <c r="F2" s="135"/>
      <c r="H2" s="1330"/>
      <c r="I2" s="1330"/>
      <c r="J2" s="1330"/>
      <c r="K2" s="1330"/>
      <c r="L2" s="1330"/>
      <c r="M2" s="6"/>
      <c r="N2" s="6"/>
      <c r="O2" s="6"/>
      <c r="P2" s="6"/>
      <c r="Q2" s="6"/>
      <c r="R2" s="6"/>
      <c r="S2" s="6"/>
      <c r="T2" s="6"/>
      <c r="U2" s="6"/>
      <c r="V2" s="6"/>
      <c r="W2" s="6"/>
      <c r="X2" s="6"/>
      <c r="Y2" s="6"/>
      <c r="Z2" s="6"/>
    </row>
    <row r="3" spans="1:26" ht="15.75" customHeight="1">
      <c r="A3" s="135"/>
      <c r="B3" s="177" t="s">
        <v>17</v>
      </c>
      <c r="C3" s="137" t="s">
        <v>18</v>
      </c>
      <c r="D3" s="1221" t="s">
        <v>19</v>
      </c>
      <c r="E3" s="1221"/>
      <c r="F3" s="1324"/>
      <c r="H3" s="1331" t="s">
        <v>0</v>
      </c>
      <c r="I3" s="1257" t="s">
        <v>20</v>
      </c>
      <c r="J3" s="1258"/>
      <c r="K3" s="1313" t="s">
        <v>18</v>
      </c>
      <c r="L3" s="1314"/>
      <c r="M3" s="496" t="s">
        <v>557</v>
      </c>
      <c r="N3" s="497" t="s">
        <v>558</v>
      </c>
      <c r="O3" s="497" t="s">
        <v>559</v>
      </c>
      <c r="P3" s="497" t="s">
        <v>560</v>
      </c>
      <c r="Q3" s="497" t="s">
        <v>561</v>
      </c>
      <c r="R3" s="497" t="s">
        <v>562</v>
      </c>
      <c r="S3" s="497" t="s">
        <v>563</v>
      </c>
      <c r="T3" s="497" t="s">
        <v>564</v>
      </c>
      <c r="U3" s="497" t="s">
        <v>565</v>
      </c>
      <c r="V3" s="497" t="s">
        <v>566</v>
      </c>
      <c r="W3" s="497" t="s">
        <v>567</v>
      </c>
      <c r="X3" s="497" t="s">
        <v>568</v>
      </c>
      <c r="Y3" s="1338" t="s">
        <v>22</v>
      </c>
      <c r="Z3" s="1339"/>
    </row>
    <row r="4" spans="1:26" ht="15.75" customHeight="1">
      <c r="A4" s="135"/>
      <c r="B4" s="179" t="s">
        <v>93</v>
      </c>
      <c r="C4" s="265"/>
      <c r="D4" s="1325"/>
      <c r="E4" s="1325"/>
      <c r="F4" s="1326"/>
      <c r="H4" s="1332"/>
      <c r="I4" s="1340" t="s">
        <v>94</v>
      </c>
      <c r="J4" s="1277"/>
      <c r="K4" s="239">
        <f>C4</f>
        <v>0</v>
      </c>
      <c r="L4" s="219" t="s">
        <v>4</v>
      </c>
      <c r="M4" s="498">
        <f>Y4/12</f>
        <v>0</v>
      </c>
      <c r="N4" s="499">
        <f>Y4/12</f>
        <v>0</v>
      </c>
      <c r="O4" s="499">
        <f>Y4/12</f>
        <v>0</v>
      </c>
      <c r="P4" s="499">
        <f>Y4/12</f>
        <v>0</v>
      </c>
      <c r="Q4" s="499">
        <f>Y4/12</f>
        <v>0</v>
      </c>
      <c r="R4" s="499">
        <f>Y4/12</f>
        <v>0</v>
      </c>
      <c r="S4" s="499">
        <f>Y4/12</f>
        <v>0</v>
      </c>
      <c r="T4" s="499">
        <f>Y4/12</f>
        <v>0</v>
      </c>
      <c r="U4" s="499">
        <f>Y4/12</f>
        <v>0</v>
      </c>
      <c r="V4" s="499">
        <f>Y4/12</f>
        <v>0</v>
      </c>
      <c r="W4" s="499">
        <f>Y4/12</f>
        <v>0</v>
      </c>
      <c r="X4" s="499">
        <f>Y4/12</f>
        <v>0</v>
      </c>
      <c r="Y4" s="1342">
        <f>K4*26.7</f>
        <v>0</v>
      </c>
      <c r="Z4" s="1343"/>
    </row>
    <row r="5" spans="1:26" ht="15.75" customHeight="1">
      <c r="A5" s="135"/>
      <c r="B5" s="165" t="s">
        <v>95</v>
      </c>
      <c r="C5" s="266">
        <f>ROUND(C4*365/570,0)</f>
        <v>0</v>
      </c>
      <c r="D5" s="1281" t="s">
        <v>96</v>
      </c>
      <c r="E5" s="1281"/>
      <c r="F5" s="1282"/>
      <c r="H5" s="1332"/>
      <c r="I5" s="1341"/>
      <c r="J5" s="1284"/>
      <c r="K5" s="240"/>
      <c r="L5" s="220"/>
      <c r="M5" s="500"/>
      <c r="N5" s="501"/>
      <c r="O5" s="501"/>
      <c r="P5" s="501"/>
      <c r="Q5" s="501"/>
      <c r="R5" s="501"/>
      <c r="S5" s="501"/>
      <c r="T5" s="501"/>
      <c r="U5" s="501"/>
      <c r="V5" s="501"/>
      <c r="W5" s="501"/>
      <c r="X5" s="501"/>
      <c r="Y5" s="1344"/>
      <c r="Z5" s="1345"/>
    </row>
    <row r="6" spans="1:26" ht="15.75" customHeight="1">
      <c r="A6" s="135"/>
      <c r="B6" s="167" t="s">
        <v>97</v>
      </c>
      <c r="C6" s="267">
        <f>ROUND(C4*365/570*(1-D6),0)</f>
        <v>0</v>
      </c>
      <c r="D6" s="1321">
        <v>0.02</v>
      </c>
      <c r="E6" s="1321"/>
      <c r="F6" s="1322"/>
      <c r="H6" s="1332"/>
      <c r="I6" s="1348"/>
      <c r="J6" s="1295"/>
      <c r="K6" s="241"/>
      <c r="L6" s="221"/>
      <c r="M6" s="504"/>
      <c r="N6" s="502"/>
      <c r="O6" s="502"/>
      <c r="P6" s="502"/>
      <c r="Q6" s="502"/>
      <c r="R6" s="502"/>
      <c r="S6" s="502"/>
      <c r="T6" s="502"/>
      <c r="U6" s="502"/>
      <c r="V6" s="502"/>
      <c r="W6" s="502"/>
      <c r="X6" s="502"/>
      <c r="Y6" s="1346"/>
      <c r="Z6" s="1347"/>
    </row>
    <row r="7" spans="1:26" ht="15.75" customHeight="1">
      <c r="A7" s="135"/>
      <c r="B7" s="178" t="s">
        <v>98</v>
      </c>
      <c r="C7" s="268">
        <f>SUM(C4)</f>
        <v>0</v>
      </c>
      <c r="D7" s="1323"/>
      <c r="E7" s="1323"/>
      <c r="F7" s="1323"/>
      <c r="H7" s="1332"/>
      <c r="I7" s="1257" t="s">
        <v>22</v>
      </c>
      <c r="J7" s="1258"/>
      <c r="K7" s="242">
        <f>SUM(K4:K6)</f>
        <v>0</v>
      </c>
      <c r="L7" s="222" t="s">
        <v>4</v>
      </c>
      <c r="M7" s="506">
        <f aca="true" t="shared" si="0" ref="M7:X7">SUM(M4:M6)</f>
        <v>0</v>
      </c>
      <c r="N7" s="505">
        <f t="shared" si="0"/>
        <v>0</v>
      </c>
      <c r="O7" s="505">
        <f t="shared" si="0"/>
        <v>0</v>
      </c>
      <c r="P7" s="505">
        <f t="shared" si="0"/>
        <v>0</v>
      </c>
      <c r="Q7" s="505">
        <f t="shared" si="0"/>
        <v>0</v>
      </c>
      <c r="R7" s="505">
        <f t="shared" si="0"/>
        <v>0</v>
      </c>
      <c r="S7" s="505">
        <f t="shared" si="0"/>
        <v>0</v>
      </c>
      <c r="T7" s="505">
        <f t="shared" si="0"/>
        <v>0</v>
      </c>
      <c r="U7" s="505">
        <f t="shared" si="0"/>
        <v>0</v>
      </c>
      <c r="V7" s="505">
        <f t="shared" si="0"/>
        <v>0</v>
      </c>
      <c r="W7" s="505">
        <f t="shared" si="0"/>
        <v>0</v>
      </c>
      <c r="X7" s="505">
        <f t="shared" si="0"/>
        <v>0</v>
      </c>
      <c r="Y7" s="233" t="s">
        <v>554</v>
      </c>
      <c r="Z7" s="234">
        <f>SUM(Y4:Z6)</f>
        <v>0</v>
      </c>
    </row>
    <row r="8" spans="1:26" ht="15.75" customHeight="1">
      <c r="A8" s="135"/>
      <c r="B8" s="135"/>
      <c r="C8" s="135"/>
      <c r="D8" s="135"/>
      <c r="E8" s="135"/>
      <c r="F8" s="136" t="s">
        <v>32</v>
      </c>
      <c r="H8" s="1332"/>
      <c r="I8" s="1334" t="s">
        <v>27</v>
      </c>
      <c r="J8" s="1335"/>
      <c r="K8" s="1296"/>
      <c r="L8" s="1297"/>
      <c r="M8" s="507">
        <f aca="true" t="shared" si="1" ref="M8:X8">M23</f>
        <v>0</v>
      </c>
      <c r="N8" s="503">
        <f t="shared" si="1"/>
        <v>0</v>
      </c>
      <c r="O8" s="503">
        <f t="shared" si="1"/>
        <v>0</v>
      </c>
      <c r="P8" s="503">
        <f t="shared" si="1"/>
        <v>0</v>
      </c>
      <c r="Q8" s="503">
        <f t="shared" si="1"/>
        <v>0</v>
      </c>
      <c r="R8" s="503">
        <f t="shared" si="1"/>
        <v>0</v>
      </c>
      <c r="S8" s="503">
        <f t="shared" si="1"/>
        <v>0</v>
      </c>
      <c r="T8" s="503">
        <f t="shared" si="1"/>
        <v>0</v>
      </c>
      <c r="U8" s="503">
        <f t="shared" si="1"/>
        <v>0</v>
      </c>
      <c r="V8" s="503">
        <f t="shared" si="1"/>
        <v>0</v>
      </c>
      <c r="W8" s="503">
        <f t="shared" si="1"/>
        <v>0</v>
      </c>
      <c r="X8" s="503">
        <f t="shared" si="1"/>
        <v>0</v>
      </c>
      <c r="Y8" s="235" t="s">
        <v>555</v>
      </c>
      <c r="Z8" s="236">
        <f>SUM(M8:X8)</f>
        <v>0</v>
      </c>
    </row>
    <row r="9" spans="1:26" ht="15.75" customHeight="1">
      <c r="A9" s="135"/>
      <c r="B9" s="177" t="s">
        <v>33</v>
      </c>
      <c r="C9" s="137" t="s">
        <v>34</v>
      </c>
      <c r="D9" s="137" t="s">
        <v>35</v>
      </c>
      <c r="E9" s="137" t="s">
        <v>36</v>
      </c>
      <c r="F9" s="138" t="s">
        <v>19</v>
      </c>
      <c r="H9" s="1333"/>
      <c r="I9" s="1336" t="s">
        <v>28</v>
      </c>
      <c r="J9" s="1337"/>
      <c r="K9" s="1298"/>
      <c r="L9" s="1299"/>
      <c r="M9" s="509">
        <f aca="true" t="shared" si="2" ref="M9:X9">M28</f>
        <v>0</v>
      </c>
      <c r="N9" s="508">
        <f t="shared" si="2"/>
        <v>0</v>
      </c>
      <c r="O9" s="508">
        <f t="shared" si="2"/>
        <v>0</v>
      </c>
      <c r="P9" s="508">
        <f t="shared" si="2"/>
        <v>0</v>
      </c>
      <c r="Q9" s="508">
        <f t="shared" si="2"/>
        <v>0</v>
      </c>
      <c r="R9" s="508">
        <f t="shared" si="2"/>
        <v>0</v>
      </c>
      <c r="S9" s="508">
        <f t="shared" si="2"/>
        <v>0</v>
      </c>
      <c r="T9" s="508">
        <f t="shared" si="2"/>
        <v>0</v>
      </c>
      <c r="U9" s="508">
        <f t="shared" si="2"/>
        <v>0</v>
      </c>
      <c r="V9" s="508">
        <f t="shared" si="2"/>
        <v>0</v>
      </c>
      <c r="W9" s="508">
        <f t="shared" si="2"/>
        <v>0</v>
      </c>
      <c r="X9" s="508">
        <f t="shared" si="2"/>
        <v>0</v>
      </c>
      <c r="Y9" s="237" t="s">
        <v>556</v>
      </c>
      <c r="Z9" s="238">
        <f>SUM(M9:X9)</f>
        <v>0</v>
      </c>
    </row>
    <row r="10" spans="1:26" ht="15.75" customHeight="1">
      <c r="A10" s="135"/>
      <c r="B10" s="179" t="s">
        <v>37</v>
      </c>
      <c r="C10" s="226">
        <f>D10*E10</f>
        <v>0</v>
      </c>
      <c r="D10" s="227">
        <f>435*1650*1.08</f>
        <v>775170</v>
      </c>
      <c r="E10" s="226">
        <f>C6</f>
        <v>0</v>
      </c>
      <c r="F10" s="228" t="s">
        <v>552</v>
      </c>
      <c r="H10" s="7"/>
      <c r="I10" s="30"/>
      <c r="J10" s="30"/>
      <c r="K10" s="8"/>
      <c r="L10" s="9"/>
      <c r="M10" s="28"/>
      <c r="N10" s="28"/>
      <c r="O10" s="28"/>
      <c r="P10" s="28"/>
      <c r="Q10" s="28"/>
      <c r="R10" s="28"/>
      <c r="S10" s="28"/>
      <c r="T10" s="28"/>
      <c r="U10" s="28"/>
      <c r="V10" s="28"/>
      <c r="W10" s="28"/>
      <c r="X10" s="28"/>
      <c r="Y10" s="29"/>
      <c r="Z10" s="29"/>
    </row>
    <row r="11" spans="1:26" ht="15.75" customHeight="1">
      <c r="A11" s="135"/>
      <c r="B11" s="165" t="s">
        <v>38</v>
      </c>
      <c r="C11" s="224">
        <f>SUM(C12:C14)</f>
        <v>0</v>
      </c>
      <c r="D11" s="229"/>
      <c r="E11" s="224"/>
      <c r="F11" s="148"/>
      <c r="H11" s="7"/>
      <c r="I11" s="30"/>
      <c r="J11" s="30"/>
      <c r="K11" s="8"/>
      <c r="L11" s="9"/>
      <c r="M11" s="28"/>
      <c r="N11" s="28"/>
      <c r="O11" s="28"/>
      <c r="P11" s="28"/>
      <c r="Q11" s="28"/>
      <c r="R11" s="28"/>
      <c r="S11" s="28"/>
      <c r="T11" s="28"/>
      <c r="U11" s="28"/>
      <c r="V11" s="28"/>
      <c r="W11" s="1349" t="s">
        <v>31</v>
      </c>
      <c r="X11" s="1349"/>
      <c r="Y11" s="1349"/>
      <c r="Z11" s="1349"/>
    </row>
    <row r="12" spans="1:26" ht="15.75" customHeight="1">
      <c r="A12" s="135"/>
      <c r="B12" s="165" t="s">
        <v>39</v>
      </c>
      <c r="C12" s="230"/>
      <c r="D12" s="229"/>
      <c r="E12" s="224"/>
      <c r="F12" s="148"/>
      <c r="H12" s="7"/>
      <c r="I12" s="9"/>
      <c r="J12" s="9"/>
      <c r="K12" s="8"/>
      <c r="L12" s="9"/>
      <c r="M12" s="27"/>
      <c r="N12" s="27"/>
      <c r="O12" s="27"/>
      <c r="P12" s="27"/>
      <c r="Q12" s="27"/>
      <c r="R12" s="27"/>
      <c r="S12" s="27"/>
      <c r="T12" s="27"/>
      <c r="U12" s="27"/>
      <c r="V12" s="27"/>
      <c r="W12" s="1350" t="s">
        <v>99</v>
      </c>
      <c r="X12" s="1351"/>
      <c r="Y12" s="1351"/>
      <c r="Z12" s="218">
        <f>Z7-Z8-Z9</f>
        <v>0</v>
      </c>
    </row>
    <row r="13" spans="1:26" ht="15.75" customHeight="1">
      <c r="A13" s="135"/>
      <c r="B13" s="165" t="s">
        <v>100</v>
      </c>
      <c r="C13" s="175">
        <f>D13*E13</f>
        <v>0</v>
      </c>
      <c r="D13" s="229">
        <v>195000</v>
      </c>
      <c r="E13" s="224">
        <f>ROUNDUP(C4*D6,0)</f>
        <v>0</v>
      </c>
      <c r="F13" s="148"/>
      <c r="H13" s="7"/>
      <c r="I13" s="9"/>
      <c r="J13" s="9"/>
      <c r="K13" s="10"/>
      <c r="L13" s="9"/>
      <c r="M13" s="27"/>
      <c r="N13" s="27"/>
      <c r="O13" s="27"/>
      <c r="P13" s="27"/>
      <c r="Q13" s="27"/>
      <c r="R13" s="27"/>
      <c r="S13" s="27"/>
      <c r="T13" s="27"/>
      <c r="U13" s="27"/>
      <c r="V13" s="27"/>
      <c r="W13" s="27"/>
      <c r="X13" s="27"/>
      <c r="Y13" s="11"/>
      <c r="Z13" s="11"/>
    </row>
    <row r="14" spans="1:26" ht="15.75" customHeight="1">
      <c r="A14" s="135"/>
      <c r="B14" s="167" t="s">
        <v>101</v>
      </c>
      <c r="C14" s="231"/>
      <c r="D14" s="225"/>
      <c r="E14" s="225"/>
      <c r="F14" s="149"/>
      <c r="H14" s="7"/>
      <c r="I14" s="9"/>
      <c r="J14" s="9"/>
      <c r="K14" s="10"/>
      <c r="L14" s="9"/>
      <c r="M14" s="27"/>
      <c r="N14" s="27"/>
      <c r="O14" s="27"/>
      <c r="P14" s="27"/>
      <c r="Q14" s="27"/>
      <c r="R14" s="27"/>
      <c r="S14" s="27"/>
      <c r="T14" s="27"/>
      <c r="U14" s="27"/>
      <c r="V14" s="27"/>
      <c r="W14" s="27"/>
      <c r="X14" s="27"/>
      <c r="Y14" s="11"/>
      <c r="Z14" s="11"/>
    </row>
    <row r="15" spans="1:22" ht="15.75" customHeight="1">
      <c r="A15" s="135"/>
      <c r="B15" s="178" t="s">
        <v>48</v>
      </c>
      <c r="C15" s="1307">
        <f>SUM(C10:C11)</f>
        <v>0</v>
      </c>
      <c r="D15" s="1308"/>
      <c r="E15" s="162"/>
      <c r="F15" s="162"/>
      <c r="H15" s="7"/>
      <c r="I15" s="9"/>
      <c r="J15" s="9"/>
      <c r="K15" s="10"/>
      <c r="L15" s="9"/>
      <c r="M15" s="11"/>
      <c r="N15" s="11"/>
      <c r="O15" s="11"/>
      <c r="P15" s="11"/>
      <c r="Q15" s="11"/>
      <c r="R15" s="11"/>
      <c r="S15" s="11"/>
      <c r="T15" s="11"/>
      <c r="U15" s="11"/>
      <c r="V15" s="11"/>
    </row>
    <row r="16" spans="1:22" ht="15.75" customHeight="1">
      <c r="A16" s="135"/>
      <c r="B16" s="135"/>
      <c r="C16" s="135"/>
      <c r="D16" s="135"/>
      <c r="E16" s="135"/>
      <c r="F16" s="136" t="s">
        <v>32</v>
      </c>
      <c r="H16" s="1317" t="s">
        <v>40</v>
      </c>
      <c r="I16" s="1317"/>
      <c r="J16" s="1317"/>
      <c r="K16" s="1317"/>
      <c r="L16" s="1317"/>
      <c r="M16" s="12"/>
      <c r="N16" s="12"/>
      <c r="O16" s="12"/>
      <c r="P16" s="12"/>
      <c r="Q16" s="12"/>
      <c r="R16" s="12"/>
      <c r="S16" s="12"/>
      <c r="T16" s="12"/>
      <c r="U16" s="12"/>
      <c r="V16" s="12"/>
    </row>
    <row r="17" spans="1:26" ht="15.75" customHeight="1">
      <c r="A17" s="135"/>
      <c r="B17" s="177" t="s">
        <v>49</v>
      </c>
      <c r="C17" s="137" t="s">
        <v>34</v>
      </c>
      <c r="D17" s="137" t="s">
        <v>35</v>
      </c>
      <c r="E17" s="137" t="s">
        <v>36</v>
      </c>
      <c r="F17" s="138" t="s">
        <v>19</v>
      </c>
      <c r="H17" s="1318"/>
      <c r="I17" s="1318"/>
      <c r="J17" s="1318"/>
      <c r="K17" s="1318"/>
      <c r="L17" s="1318"/>
      <c r="M17" s="217"/>
      <c r="N17" s="217"/>
      <c r="O17" s="12"/>
      <c r="P17" s="12"/>
      <c r="Q17" s="12"/>
      <c r="R17" s="12"/>
      <c r="S17" s="12"/>
      <c r="T17" s="12"/>
      <c r="U17" s="12"/>
      <c r="V17" s="12"/>
      <c r="W17" s="12"/>
      <c r="X17" s="12"/>
      <c r="Y17" s="12"/>
      <c r="Z17" s="12"/>
    </row>
    <row r="18" spans="1:26" ht="15.75" customHeight="1">
      <c r="A18" s="1327" t="s">
        <v>102</v>
      </c>
      <c r="B18" s="179" t="s">
        <v>70</v>
      </c>
      <c r="C18" s="247">
        <f>D18*E18</f>
        <v>0</v>
      </c>
      <c r="D18" s="227">
        <v>350000</v>
      </c>
      <c r="E18" s="226">
        <f>C5</f>
        <v>0</v>
      </c>
      <c r="F18" s="269"/>
      <c r="H18" s="1331" t="s">
        <v>0</v>
      </c>
      <c r="I18" s="1257" t="s">
        <v>43</v>
      </c>
      <c r="J18" s="1258"/>
      <c r="K18" s="1313" t="s">
        <v>44</v>
      </c>
      <c r="L18" s="1314"/>
      <c r="M18" s="513" t="s">
        <v>557</v>
      </c>
      <c r="N18" s="511" t="s">
        <v>558</v>
      </c>
      <c r="O18" s="511" t="s">
        <v>559</v>
      </c>
      <c r="P18" s="511" t="s">
        <v>560</v>
      </c>
      <c r="Q18" s="511" t="s">
        <v>561</v>
      </c>
      <c r="R18" s="511" t="s">
        <v>562</v>
      </c>
      <c r="S18" s="511" t="s">
        <v>563</v>
      </c>
      <c r="T18" s="511" t="s">
        <v>564</v>
      </c>
      <c r="U18" s="511" t="s">
        <v>565</v>
      </c>
      <c r="V18" s="511" t="s">
        <v>566</v>
      </c>
      <c r="W18" s="511" t="s">
        <v>567</v>
      </c>
      <c r="X18" s="511" t="s">
        <v>568</v>
      </c>
      <c r="Y18" s="1338" t="s">
        <v>45</v>
      </c>
      <c r="Z18" s="1339"/>
    </row>
    <row r="19" spans="1:26" ht="15.75" customHeight="1">
      <c r="A19" s="1328"/>
      <c r="B19" s="165" t="s">
        <v>103</v>
      </c>
      <c r="C19" s="244">
        <f>D19*E19</f>
        <v>0</v>
      </c>
      <c r="D19" s="243">
        <f>D18*0.01</f>
        <v>3500</v>
      </c>
      <c r="E19" s="244">
        <f>C5</f>
        <v>0</v>
      </c>
      <c r="F19" s="148" t="s">
        <v>104</v>
      </c>
      <c r="H19" s="1332"/>
      <c r="I19" s="1319" t="s">
        <v>553</v>
      </c>
      <c r="J19" s="495"/>
      <c r="K19" s="1354">
        <f>Y19/8</f>
        <v>0</v>
      </c>
      <c r="L19" s="1355"/>
      <c r="M19" s="512">
        <f>Y19/12</f>
        <v>0</v>
      </c>
      <c r="N19" s="510">
        <f>Y19/12</f>
        <v>0</v>
      </c>
      <c r="O19" s="510">
        <f>Y19/12</f>
        <v>0</v>
      </c>
      <c r="P19" s="510">
        <f>Y19/12</f>
        <v>0</v>
      </c>
      <c r="Q19" s="510">
        <f>Y19/12</f>
        <v>0</v>
      </c>
      <c r="R19" s="510">
        <f>Y19/12</f>
        <v>0</v>
      </c>
      <c r="S19" s="510">
        <f>Y19/12</f>
        <v>0</v>
      </c>
      <c r="T19" s="510">
        <f>Y19/12</f>
        <v>0</v>
      </c>
      <c r="U19" s="510">
        <f>Y19/12</f>
        <v>0</v>
      </c>
      <c r="V19" s="510">
        <f>Y19/12</f>
        <v>0</v>
      </c>
      <c r="W19" s="510">
        <f>Y19/12</f>
        <v>0</v>
      </c>
      <c r="X19" s="510">
        <f>Y19/12</f>
        <v>0</v>
      </c>
      <c r="Y19" s="1352"/>
      <c r="Z19" s="1353"/>
    </row>
    <row r="20" spans="1:26" ht="15.75" customHeight="1">
      <c r="A20" s="1328"/>
      <c r="B20" s="165" t="s">
        <v>53</v>
      </c>
      <c r="C20" s="224">
        <f>SUM(C21:C22)</f>
        <v>0</v>
      </c>
      <c r="D20" s="224"/>
      <c r="E20" s="224"/>
      <c r="F20" s="148"/>
      <c r="H20" s="1332"/>
      <c r="I20" s="1227"/>
      <c r="J20" s="489"/>
      <c r="K20" s="1315">
        <f>Y20/8</f>
        <v>0</v>
      </c>
      <c r="L20" s="1316"/>
      <c r="M20" s="515">
        <f>Y20/12</f>
        <v>0</v>
      </c>
      <c r="N20" s="514">
        <f>Y20/12</f>
        <v>0</v>
      </c>
      <c r="O20" s="514">
        <f>Y20/12</f>
        <v>0</v>
      </c>
      <c r="P20" s="514">
        <f>Y20/12</f>
        <v>0</v>
      </c>
      <c r="Q20" s="514">
        <f>Y20/12</f>
        <v>0</v>
      </c>
      <c r="R20" s="514">
        <f>Y20/12</f>
        <v>0</v>
      </c>
      <c r="S20" s="514">
        <f>Y20/12</f>
        <v>0</v>
      </c>
      <c r="T20" s="514">
        <f>Y20/12</f>
        <v>0</v>
      </c>
      <c r="U20" s="514">
        <f>Y20/12</f>
        <v>0</v>
      </c>
      <c r="V20" s="514">
        <f>Y20/12</f>
        <v>0</v>
      </c>
      <c r="W20" s="514">
        <f>Y20/12</f>
        <v>0</v>
      </c>
      <c r="X20" s="514">
        <f>Y20/12</f>
        <v>0</v>
      </c>
      <c r="Y20" s="1356"/>
      <c r="Z20" s="1357"/>
    </row>
    <row r="21" spans="1:26" ht="15.75" customHeight="1">
      <c r="A21" s="1328"/>
      <c r="B21" s="165" t="s">
        <v>55</v>
      </c>
      <c r="C21" s="175">
        <f aca="true" t="shared" si="3" ref="C21:C33">D21*E21</f>
        <v>0</v>
      </c>
      <c r="D21" s="229">
        <v>107707</v>
      </c>
      <c r="E21" s="224">
        <f>C4</f>
        <v>0</v>
      </c>
      <c r="F21" s="148"/>
      <c r="H21" s="1332"/>
      <c r="I21" s="1227"/>
      <c r="J21" s="489"/>
      <c r="K21" s="1315">
        <f>Y21/8</f>
        <v>0</v>
      </c>
      <c r="L21" s="1316"/>
      <c r="M21" s="515">
        <f>Y21/12</f>
        <v>0</v>
      </c>
      <c r="N21" s="514">
        <f>Y21/12</f>
        <v>0</v>
      </c>
      <c r="O21" s="514">
        <f>Y21/12</f>
        <v>0</v>
      </c>
      <c r="P21" s="514">
        <f>Y21/12</f>
        <v>0</v>
      </c>
      <c r="Q21" s="514">
        <f>Y21/12</f>
        <v>0</v>
      </c>
      <c r="R21" s="514">
        <f>Y21/12</f>
        <v>0</v>
      </c>
      <c r="S21" s="514">
        <f>Y21/12</f>
        <v>0</v>
      </c>
      <c r="T21" s="514">
        <f>Y21/12</f>
        <v>0</v>
      </c>
      <c r="U21" s="514">
        <f>Y21/12</f>
        <v>0</v>
      </c>
      <c r="V21" s="514">
        <f>Y21/12</f>
        <v>0</v>
      </c>
      <c r="W21" s="514">
        <f>Y21/12</f>
        <v>0</v>
      </c>
      <c r="X21" s="514">
        <f>Y21/12</f>
        <v>0</v>
      </c>
      <c r="Y21" s="1356"/>
      <c r="Z21" s="1357"/>
    </row>
    <row r="22" spans="1:26" ht="15.75" customHeight="1">
      <c r="A22" s="1328"/>
      <c r="B22" s="165" t="s">
        <v>56</v>
      </c>
      <c r="C22" s="175">
        <f t="shared" si="3"/>
        <v>0</v>
      </c>
      <c r="D22" s="229">
        <v>6873</v>
      </c>
      <c r="E22" s="224">
        <f>C4</f>
        <v>0</v>
      </c>
      <c r="F22" s="148"/>
      <c r="H22" s="1332"/>
      <c r="I22" s="1227"/>
      <c r="J22" s="489"/>
      <c r="K22" s="1315">
        <f>Y22/8</f>
        <v>0</v>
      </c>
      <c r="L22" s="1316"/>
      <c r="M22" s="515">
        <f>Y22/12</f>
        <v>0</v>
      </c>
      <c r="N22" s="514">
        <f>Y22/12</f>
        <v>0</v>
      </c>
      <c r="O22" s="514">
        <f>Y22/12</f>
        <v>0</v>
      </c>
      <c r="P22" s="514">
        <f>Y22/12</f>
        <v>0</v>
      </c>
      <c r="Q22" s="514">
        <f>Y22/12</f>
        <v>0</v>
      </c>
      <c r="R22" s="514">
        <f>Y22/12</f>
        <v>0</v>
      </c>
      <c r="S22" s="514">
        <f>Y22/12</f>
        <v>0</v>
      </c>
      <c r="T22" s="514">
        <f>Y22/12</f>
        <v>0</v>
      </c>
      <c r="U22" s="514">
        <f>Y22/12</f>
        <v>0</v>
      </c>
      <c r="V22" s="514">
        <f>Y22/12</f>
        <v>0</v>
      </c>
      <c r="W22" s="514">
        <f>Y22/12</f>
        <v>0</v>
      </c>
      <c r="X22" s="514">
        <f>Y22/12</f>
        <v>0</v>
      </c>
      <c r="Y22" s="1356"/>
      <c r="Z22" s="1357"/>
    </row>
    <row r="23" spans="1:26" ht="15.75" customHeight="1">
      <c r="A23" s="1328"/>
      <c r="B23" s="165" t="s">
        <v>105</v>
      </c>
      <c r="C23" s="244">
        <f t="shared" si="3"/>
        <v>0</v>
      </c>
      <c r="D23" s="243">
        <v>7812</v>
      </c>
      <c r="E23" s="244">
        <f>C4</f>
        <v>0</v>
      </c>
      <c r="F23" s="148"/>
      <c r="H23" s="1332"/>
      <c r="I23" s="1320"/>
      <c r="J23" s="483" t="s">
        <v>52</v>
      </c>
      <c r="K23" s="1360">
        <f>SUM(K19:L22)</f>
        <v>0</v>
      </c>
      <c r="L23" s="1361"/>
      <c r="M23" s="517">
        <f aca="true" t="shared" si="4" ref="M23:X23">SUM(M19:M22)</f>
        <v>0</v>
      </c>
      <c r="N23" s="516">
        <f t="shared" si="4"/>
        <v>0</v>
      </c>
      <c r="O23" s="516">
        <f t="shared" si="4"/>
        <v>0</v>
      </c>
      <c r="P23" s="516">
        <f t="shared" si="4"/>
        <v>0</v>
      </c>
      <c r="Q23" s="516">
        <f t="shared" si="4"/>
        <v>0</v>
      </c>
      <c r="R23" s="516">
        <f t="shared" si="4"/>
        <v>0</v>
      </c>
      <c r="S23" s="516">
        <f t="shared" si="4"/>
        <v>0</v>
      </c>
      <c r="T23" s="516">
        <f t="shared" si="4"/>
        <v>0</v>
      </c>
      <c r="U23" s="516">
        <f t="shared" si="4"/>
        <v>0</v>
      </c>
      <c r="V23" s="516">
        <f t="shared" si="4"/>
        <v>0</v>
      </c>
      <c r="W23" s="516">
        <f t="shared" si="4"/>
        <v>0</v>
      </c>
      <c r="X23" s="516">
        <f t="shared" si="4"/>
        <v>0</v>
      </c>
      <c r="Y23" s="1358">
        <f>SUM(Y19:Z22)</f>
        <v>0</v>
      </c>
      <c r="Z23" s="1359"/>
    </row>
    <row r="24" spans="1:26" ht="15.75" customHeight="1">
      <c r="A24" s="1328"/>
      <c r="B24" s="165" t="s">
        <v>57</v>
      </c>
      <c r="C24" s="224">
        <f t="shared" si="3"/>
        <v>0</v>
      </c>
      <c r="D24" s="229">
        <v>1200</v>
      </c>
      <c r="E24" s="224">
        <f>Z9</f>
        <v>0</v>
      </c>
      <c r="F24" s="148" t="s">
        <v>106</v>
      </c>
      <c r="H24" s="1332"/>
      <c r="I24" s="1226" t="s">
        <v>54</v>
      </c>
      <c r="J24" s="493"/>
      <c r="K24" s="1370">
        <f>Y24/8</f>
        <v>0</v>
      </c>
      <c r="L24" s="1371"/>
      <c r="M24" s="520">
        <f>Y24/12</f>
        <v>0</v>
      </c>
      <c r="N24" s="521">
        <f>Y24/12</f>
        <v>0</v>
      </c>
      <c r="O24" s="521">
        <f>Y24/12</f>
        <v>0</v>
      </c>
      <c r="P24" s="521">
        <f>Y24/12</f>
        <v>0</v>
      </c>
      <c r="Q24" s="521">
        <f>Y24/12</f>
        <v>0</v>
      </c>
      <c r="R24" s="521">
        <f>Y24/12</f>
        <v>0</v>
      </c>
      <c r="S24" s="521">
        <f>Y24/12</f>
        <v>0</v>
      </c>
      <c r="T24" s="521">
        <f>Y24/12</f>
        <v>0</v>
      </c>
      <c r="U24" s="521">
        <f>Y24/12</f>
        <v>0</v>
      </c>
      <c r="V24" s="521">
        <f>Y24/12</f>
        <v>0</v>
      </c>
      <c r="W24" s="521">
        <f>Y24/12</f>
        <v>0</v>
      </c>
      <c r="X24" s="521">
        <f>Y24/12</f>
        <v>0</v>
      </c>
      <c r="Y24" s="1372"/>
      <c r="Z24" s="1373"/>
    </row>
    <row r="25" spans="1:26" ht="15.75" customHeight="1">
      <c r="A25" s="1328"/>
      <c r="B25" s="165" t="s">
        <v>59</v>
      </c>
      <c r="C25" s="244">
        <f t="shared" si="3"/>
        <v>0</v>
      </c>
      <c r="D25" s="243">
        <v>5250</v>
      </c>
      <c r="E25" s="244">
        <f>C4</f>
        <v>0</v>
      </c>
      <c r="F25" s="148"/>
      <c r="H25" s="1332"/>
      <c r="I25" s="1227"/>
      <c r="J25" s="489"/>
      <c r="K25" s="1315">
        <f>Y25/8</f>
        <v>0</v>
      </c>
      <c r="L25" s="1316"/>
      <c r="M25" s="515">
        <f>Y25/12</f>
        <v>0</v>
      </c>
      <c r="N25" s="514">
        <f>Y25/12</f>
        <v>0</v>
      </c>
      <c r="O25" s="514">
        <f>Y25/12</f>
        <v>0</v>
      </c>
      <c r="P25" s="514">
        <f>Y25/12</f>
        <v>0</v>
      </c>
      <c r="Q25" s="514">
        <f>Y25/12</f>
        <v>0</v>
      </c>
      <c r="R25" s="514">
        <f>Y25/12</f>
        <v>0</v>
      </c>
      <c r="S25" s="514">
        <f>Y25/12</f>
        <v>0</v>
      </c>
      <c r="T25" s="514">
        <f>Y25/12</f>
        <v>0</v>
      </c>
      <c r="U25" s="514">
        <f>Y25/12</f>
        <v>0</v>
      </c>
      <c r="V25" s="514">
        <f>Y25/12</f>
        <v>0</v>
      </c>
      <c r="W25" s="514">
        <f>Y25/12</f>
        <v>0</v>
      </c>
      <c r="X25" s="514">
        <f>Y25/12</f>
        <v>0</v>
      </c>
      <c r="Y25" s="1356"/>
      <c r="Z25" s="1357"/>
    </row>
    <row r="26" spans="1:26" ht="15.75" customHeight="1">
      <c r="A26" s="1328"/>
      <c r="B26" s="165" t="s">
        <v>60</v>
      </c>
      <c r="C26" s="244">
        <f t="shared" si="3"/>
        <v>0</v>
      </c>
      <c r="D26" s="243">
        <v>841</v>
      </c>
      <c r="E26" s="244">
        <f>C4</f>
        <v>0</v>
      </c>
      <c r="F26" s="148"/>
      <c r="H26" s="1332"/>
      <c r="I26" s="1227"/>
      <c r="J26" s="489"/>
      <c r="K26" s="1315">
        <f>Y26/8</f>
        <v>0</v>
      </c>
      <c r="L26" s="1316"/>
      <c r="M26" s="515">
        <f>Y26/12</f>
        <v>0</v>
      </c>
      <c r="N26" s="514">
        <f>Y26/12</f>
        <v>0</v>
      </c>
      <c r="O26" s="514">
        <f>Y26/12</f>
        <v>0</v>
      </c>
      <c r="P26" s="514">
        <f>Y26/12</f>
        <v>0</v>
      </c>
      <c r="Q26" s="514">
        <f>Y26/12</f>
        <v>0</v>
      </c>
      <c r="R26" s="514">
        <f>Y26/12</f>
        <v>0</v>
      </c>
      <c r="S26" s="514">
        <f>Y26/12</f>
        <v>0</v>
      </c>
      <c r="T26" s="514">
        <f>Y26/12</f>
        <v>0</v>
      </c>
      <c r="U26" s="514">
        <f>Y26/12</f>
        <v>0</v>
      </c>
      <c r="V26" s="514">
        <f>Y26/12</f>
        <v>0</v>
      </c>
      <c r="W26" s="514">
        <f>Y26/12</f>
        <v>0</v>
      </c>
      <c r="X26" s="514">
        <f>Y26/12</f>
        <v>0</v>
      </c>
      <c r="Y26" s="1356"/>
      <c r="Z26" s="1357"/>
    </row>
    <row r="27" spans="1:26" ht="15.75" customHeight="1">
      <c r="A27" s="1328"/>
      <c r="B27" s="165" t="s">
        <v>61</v>
      </c>
      <c r="C27" s="244">
        <f t="shared" si="3"/>
        <v>0</v>
      </c>
      <c r="D27" s="243">
        <v>2720</v>
      </c>
      <c r="E27" s="244">
        <f>C4</f>
        <v>0</v>
      </c>
      <c r="F27" s="148"/>
      <c r="H27" s="1332"/>
      <c r="I27" s="1227"/>
      <c r="J27" s="489"/>
      <c r="K27" s="1315">
        <f>Y27/8</f>
        <v>0</v>
      </c>
      <c r="L27" s="1316"/>
      <c r="M27" s="515">
        <f>Y27/12</f>
        <v>0</v>
      </c>
      <c r="N27" s="514">
        <f>Y27/12</f>
        <v>0</v>
      </c>
      <c r="O27" s="514">
        <f>Y27/12</f>
        <v>0</v>
      </c>
      <c r="P27" s="514">
        <f>Y27/12</f>
        <v>0</v>
      </c>
      <c r="Q27" s="514">
        <f>Y27/12</f>
        <v>0</v>
      </c>
      <c r="R27" s="514">
        <f>Y27/12</f>
        <v>0</v>
      </c>
      <c r="S27" s="514">
        <f>Y27/12</f>
        <v>0</v>
      </c>
      <c r="T27" s="514">
        <f>Y27/12</f>
        <v>0</v>
      </c>
      <c r="U27" s="514">
        <f>Y27/12</f>
        <v>0</v>
      </c>
      <c r="V27" s="514">
        <f>Y27/12</f>
        <v>0</v>
      </c>
      <c r="W27" s="514">
        <f>Y27/12</f>
        <v>0</v>
      </c>
      <c r="X27" s="514">
        <f>Y27/12</f>
        <v>0</v>
      </c>
      <c r="Y27" s="1356"/>
      <c r="Z27" s="1357"/>
    </row>
    <row r="28" spans="1:26" ht="15.75" customHeight="1">
      <c r="A28" s="1328"/>
      <c r="B28" s="165" t="s">
        <v>62</v>
      </c>
      <c r="C28" s="224">
        <f t="shared" si="3"/>
        <v>0</v>
      </c>
      <c r="D28" s="229">
        <v>22310</v>
      </c>
      <c r="E28" s="224">
        <f>C4</f>
        <v>0</v>
      </c>
      <c r="F28" s="148"/>
      <c r="H28" s="1332"/>
      <c r="I28" s="1228"/>
      <c r="J28" s="488" t="s">
        <v>52</v>
      </c>
      <c r="K28" s="1366">
        <f>SUM(K24:L27)</f>
        <v>0</v>
      </c>
      <c r="L28" s="1367"/>
      <c r="M28" s="519">
        <f aca="true" t="shared" si="5" ref="M28:X28">SUM(M24:M27)</f>
        <v>0</v>
      </c>
      <c r="N28" s="518">
        <f t="shared" si="5"/>
        <v>0</v>
      </c>
      <c r="O28" s="518">
        <f t="shared" si="5"/>
        <v>0</v>
      </c>
      <c r="P28" s="518">
        <f t="shared" si="5"/>
        <v>0</v>
      </c>
      <c r="Q28" s="518">
        <f t="shared" si="5"/>
        <v>0</v>
      </c>
      <c r="R28" s="518">
        <f t="shared" si="5"/>
        <v>0</v>
      </c>
      <c r="S28" s="518">
        <f t="shared" si="5"/>
        <v>0</v>
      </c>
      <c r="T28" s="518">
        <f t="shared" si="5"/>
        <v>0</v>
      </c>
      <c r="U28" s="518">
        <f t="shared" si="5"/>
        <v>0</v>
      </c>
      <c r="V28" s="518">
        <f t="shared" si="5"/>
        <v>0</v>
      </c>
      <c r="W28" s="518">
        <f t="shared" si="5"/>
        <v>0</v>
      </c>
      <c r="X28" s="518">
        <f t="shared" si="5"/>
        <v>0</v>
      </c>
      <c r="Y28" s="1364">
        <f>SUM(Y24:Z27)</f>
        <v>0</v>
      </c>
      <c r="Z28" s="1365"/>
    </row>
    <row r="29" spans="1:26" ht="15.75" customHeight="1">
      <c r="A29" s="1328"/>
      <c r="B29" s="165" t="s">
        <v>63</v>
      </c>
      <c r="C29" s="224">
        <f t="shared" si="3"/>
        <v>0</v>
      </c>
      <c r="D29" s="229">
        <v>3713</v>
      </c>
      <c r="E29" s="224">
        <f>C4</f>
        <v>0</v>
      </c>
      <c r="F29" s="148"/>
      <c r="H29" s="1333"/>
      <c r="I29" s="1368" t="s">
        <v>22</v>
      </c>
      <c r="J29" s="1200"/>
      <c r="K29" s="1369">
        <f>SUM(K23,K28)</f>
        <v>0</v>
      </c>
      <c r="L29" s="1363"/>
      <c r="M29" s="523">
        <f aca="true" t="shared" si="6" ref="M29:X29">M23+M28</f>
        <v>0</v>
      </c>
      <c r="N29" s="522">
        <f t="shared" si="6"/>
        <v>0</v>
      </c>
      <c r="O29" s="522">
        <f t="shared" si="6"/>
        <v>0</v>
      </c>
      <c r="P29" s="522">
        <f t="shared" si="6"/>
        <v>0</v>
      </c>
      <c r="Q29" s="522">
        <f t="shared" si="6"/>
        <v>0</v>
      </c>
      <c r="R29" s="522">
        <f t="shared" si="6"/>
        <v>0</v>
      </c>
      <c r="S29" s="522">
        <f t="shared" si="6"/>
        <v>0</v>
      </c>
      <c r="T29" s="522">
        <f t="shared" si="6"/>
        <v>0</v>
      </c>
      <c r="U29" s="522">
        <f t="shared" si="6"/>
        <v>0</v>
      </c>
      <c r="V29" s="522">
        <f t="shared" si="6"/>
        <v>0</v>
      </c>
      <c r="W29" s="522">
        <f t="shared" si="6"/>
        <v>0</v>
      </c>
      <c r="X29" s="522">
        <f t="shared" si="6"/>
        <v>0</v>
      </c>
      <c r="Y29" s="1362">
        <f>SUM(M29:X29)</f>
        <v>0</v>
      </c>
      <c r="Z29" s="1363"/>
    </row>
    <row r="30" spans="1:6" ht="15.75" customHeight="1">
      <c r="A30" s="1328"/>
      <c r="B30" s="165" t="s">
        <v>65</v>
      </c>
      <c r="C30" s="244">
        <f t="shared" si="3"/>
        <v>0</v>
      </c>
      <c r="D30" s="243">
        <v>525</v>
      </c>
      <c r="E30" s="244">
        <f>C4</f>
        <v>0</v>
      </c>
      <c r="F30" s="148"/>
    </row>
    <row r="31" spans="1:6" ht="15.75" customHeight="1">
      <c r="A31" s="1328"/>
      <c r="B31" s="165" t="s">
        <v>71</v>
      </c>
      <c r="C31" s="224">
        <f t="shared" si="3"/>
        <v>0</v>
      </c>
      <c r="D31" s="229">
        <v>1050</v>
      </c>
      <c r="E31" s="224">
        <f>C4</f>
        <v>0</v>
      </c>
      <c r="F31" s="148"/>
    </row>
    <row r="32" spans="1:6" ht="15.75" customHeight="1">
      <c r="A32" s="1328"/>
      <c r="B32" s="165" t="s">
        <v>69</v>
      </c>
      <c r="C32" s="244">
        <f t="shared" si="3"/>
        <v>0</v>
      </c>
      <c r="D32" s="243">
        <v>3150</v>
      </c>
      <c r="E32" s="244">
        <f>C4</f>
        <v>0</v>
      </c>
      <c r="F32" s="148"/>
    </row>
    <row r="33" spans="1:6" ht="15.75" customHeight="1">
      <c r="A33" s="1329"/>
      <c r="B33" s="167" t="s">
        <v>64</v>
      </c>
      <c r="C33" s="245">
        <f t="shared" si="3"/>
        <v>0</v>
      </c>
      <c r="D33" s="246">
        <v>525</v>
      </c>
      <c r="E33" s="245">
        <f>C4</f>
        <v>0</v>
      </c>
      <c r="F33" s="149"/>
    </row>
    <row r="34" spans="1:6" ht="15.75" customHeight="1">
      <c r="A34" s="1193" t="s">
        <v>107</v>
      </c>
      <c r="B34" s="1194"/>
      <c r="C34" s="255">
        <f>SUM(C18:C20,C23:C33)</f>
        <v>0</v>
      </c>
      <c r="D34" s="270"/>
      <c r="E34" s="271"/>
      <c r="F34" s="153"/>
    </row>
    <row r="35" spans="1:6" ht="15.75" customHeight="1">
      <c r="A35" s="1300" t="s">
        <v>75</v>
      </c>
      <c r="B35" s="272" t="s">
        <v>76</v>
      </c>
      <c r="C35" s="254">
        <f>SUM(C36:C38)</f>
        <v>0</v>
      </c>
      <c r="D35" s="254"/>
      <c r="E35" s="254"/>
      <c r="F35" s="155"/>
    </row>
    <row r="36" spans="1:6" ht="15.75" customHeight="1">
      <c r="A36" s="1301"/>
      <c r="B36" s="273" t="s">
        <v>108</v>
      </c>
      <c r="C36" s="256">
        <f>D36*E36</f>
        <v>0</v>
      </c>
      <c r="D36" s="243">
        <v>12000</v>
      </c>
      <c r="E36" s="244">
        <f>C6</f>
        <v>0</v>
      </c>
      <c r="F36" s="156"/>
    </row>
    <row r="37" spans="1:6" ht="15.75" customHeight="1">
      <c r="A37" s="1301"/>
      <c r="B37" s="273" t="s">
        <v>109</v>
      </c>
      <c r="C37" s="256">
        <f>D37*E37</f>
        <v>0</v>
      </c>
      <c r="D37" s="243">
        <v>11550</v>
      </c>
      <c r="E37" s="244">
        <f>C6</f>
        <v>0</v>
      </c>
      <c r="F37" s="156"/>
    </row>
    <row r="38" spans="1:6" ht="15.75" customHeight="1">
      <c r="A38" s="1301"/>
      <c r="B38" s="273" t="s">
        <v>110</v>
      </c>
      <c r="C38" s="256">
        <f>D38*E38</f>
        <v>0</v>
      </c>
      <c r="D38" s="243">
        <f>D10*0.045</f>
        <v>34882.65</v>
      </c>
      <c r="E38" s="244">
        <f>C6</f>
        <v>0</v>
      </c>
      <c r="F38" s="156" t="s">
        <v>111</v>
      </c>
    </row>
    <row r="39" spans="1:6" ht="15.75" customHeight="1">
      <c r="A39" s="1301"/>
      <c r="B39" s="273" t="s">
        <v>80</v>
      </c>
      <c r="C39" s="244">
        <f>D39*E39</f>
        <v>0</v>
      </c>
      <c r="D39" s="243">
        <v>3900</v>
      </c>
      <c r="E39" s="244">
        <f>C4</f>
        <v>0</v>
      </c>
      <c r="F39" s="148"/>
    </row>
    <row r="40" spans="1:6" ht="15.75" customHeight="1">
      <c r="A40" s="1301"/>
      <c r="B40" s="273" t="s">
        <v>81</v>
      </c>
      <c r="C40" s="224">
        <f>SUM(C41:C43)</f>
        <v>0</v>
      </c>
      <c r="D40" s="229"/>
      <c r="E40" s="224"/>
      <c r="F40" s="1210"/>
    </row>
    <row r="41" spans="1:6" ht="15.75" customHeight="1">
      <c r="A41" s="1301"/>
      <c r="B41" s="273" t="s">
        <v>82</v>
      </c>
      <c r="C41" s="175">
        <f>D41*E41</f>
        <v>0</v>
      </c>
      <c r="D41" s="229">
        <v>287</v>
      </c>
      <c r="E41" s="224">
        <f>C4</f>
        <v>0</v>
      </c>
      <c r="F41" s="1210"/>
    </row>
    <row r="42" spans="1:6" ht="15.75" customHeight="1">
      <c r="A42" s="1301"/>
      <c r="B42" s="273" t="s">
        <v>83</v>
      </c>
      <c r="C42" s="175">
        <f>D42*E42</f>
        <v>0</v>
      </c>
      <c r="D42" s="229">
        <v>1174</v>
      </c>
      <c r="E42" s="224">
        <f>C4</f>
        <v>0</v>
      </c>
      <c r="F42" s="1210"/>
    </row>
    <row r="43" spans="1:6" ht="15.75" customHeight="1">
      <c r="A43" s="1302"/>
      <c r="B43" s="274" t="s">
        <v>84</v>
      </c>
      <c r="C43" s="176">
        <f>D43*E43</f>
        <v>0</v>
      </c>
      <c r="D43" s="260">
        <v>256</v>
      </c>
      <c r="E43" s="225">
        <f>C4</f>
        <v>0</v>
      </c>
      <c r="F43" s="1211"/>
    </row>
    <row r="44" spans="1:6" ht="15.75" customHeight="1">
      <c r="A44" s="1205" t="s">
        <v>85</v>
      </c>
      <c r="B44" s="1206"/>
      <c r="C44" s="180">
        <f>SUM(C35,C39:C40)</f>
        <v>0</v>
      </c>
      <c r="D44" s="261"/>
      <c r="E44" s="262"/>
      <c r="F44" s="275"/>
    </row>
    <row r="45" spans="1:6" ht="15.75" customHeight="1">
      <c r="A45" s="1311" t="s">
        <v>112</v>
      </c>
      <c r="B45" s="276" t="s">
        <v>113</v>
      </c>
      <c r="C45" s="259">
        <f>D45*E45</f>
        <v>0</v>
      </c>
      <c r="D45" s="258">
        <v>7327</v>
      </c>
      <c r="E45" s="259">
        <f>C4</f>
        <v>0</v>
      </c>
      <c r="F45" s="269"/>
    </row>
    <row r="46" spans="1:6" ht="15.75" customHeight="1">
      <c r="A46" s="1312"/>
      <c r="B46" s="274" t="s">
        <v>89</v>
      </c>
      <c r="C46" s="257">
        <v>0</v>
      </c>
      <c r="D46" s="225"/>
      <c r="E46" s="225"/>
      <c r="F46" s="149"/>
    </row>
    <row r="47" spans="1:6" ht="15.75" customHeight="1">
      <c r="A47" s="1309" t="s">
        <v>90</v>
      </c>
      <c r="B47" s="1310"/>
      <c r="C47" s="264">
        <f>SUM(C45:C46)</f>
        <v>0</v>
      </c>
      <c r="D47" s="253"/>
      <c r="E47" s="253"/>
      <c r="F47" s="153"/>
    </row>
    <row r="48" spans="1:6" ht="15.75" customHeight="1">
      <c r="A48" s="1220" t="s">
        <v>91</v>
      </c>
      <c r="B48" s="1221"/>
      <c r="C48" s="1307">
        <f>SUM(C47,C44,C34)</f>
        <v>0</v>
      </c>
      <c r="D48" s="1308"/>
      <c r="E48" s="263"/>
      <c r="F48" s="162"/>
    </row>
    <row r="49" spans="1:6" ht="15.75" customHeight="1">
      <c r="A49" s="135"/>
      <c r="B49" s="135"/>
      <c r="C49" s="232"/>
      <c r="D49" s="232"/>
      <c r="E49" s="80"/>
      <c r="F49" s="135"/>
    </row>
    <row r="50" spans="1:6" ht="15.75" customHeight="1">
      <c r="A50" s="1305" t="s">
        <v>92</v>
      </c>
      <c r="B50" s="1306"/>
      <c r="C50" s="1303">
        <f>C15-C48</f>
        <v>0</v>
      </c>
      <c r="D50" s="1304"/>
      <c r="E50" s="80"/>
      <c r="F50" s="135"/>
    </row>
  </sheetData>
  <sheetProtection/>
  <mergeCells count="65">
    <mergeCell ref="I29:J29"/>
    <mergeCell ref="K29:L29"/>
    <mergeCell ref="I24:I28"/>
    <mergeCell ref="K24:L24"/>
    <mergeCell ref="K27:L27"/>
    <mergeCell ref="Y24:Z24"/>
    <mergeCell ref="K25:L25"/>
    <mergeCell ref="Y25:Z25"/>
    <mergeCell ref="Y26:Z26"/>
    <mergeCell ref="Y23:Z23"/>
    <mergeCell ref="Y21:Z21"/>
    <mergeCell ref="Y22:Z22"/>
    <mergeCell ref="K23:L23"/>
    <mergeCell ref="K22:L22"/>
    <mergeCell ref="Y29:Z29"/>
    <mergeCell ref="Y27:Z27"/>
    <mergeCell ref="Y28:Z28"/>
    <mergeCell ref="K28:L28"/>
    <mergeCell ref="K26:L26"/>
    <mergeCell ref="W11:Z11"/>
    <mergeCell ref="W12:Y12"/>
    <mergeCell ref="Y19:Z19"/>
    <mergeCell ref="Y18:Z18"/>
    <mergeCell ref="K19:L19"/>
    <mergeCell ref="Y20:Z20"/>
    <mergeCell ref="Y3:Z3"/>
    <mergeCell ref="I4:J4"/>
    <mergeCell ref="I5:J5"/>
    <mergeCell ref="Y4:Z4"/>
    <mergeCell ref="Y5:Z5"/>
    <mergeCell ref="Y6:Z6"/>
    <mergeCell ref="I6:J6"/>
    <mergeCell ref="A34:B34"/>
    <mergeCell ref="A18:A33"/>
    <mergeCell ref="H1:L2"/>
    <mergeCell ref="H3:H9"/>
    <mergeCell ref="I3:J3"/>
    <mergeCell ref="K3:L3"/>
    <mergeCell ref="I8:J8"/>
    <mergeCell ref="I9:J9"/>
    <mergeCell ref="H18:H29"/>
    <mergeCell ref="I7:J7"/>
    <mergeCell ref="D6:F6"/>
    <mergeCell ref="D7:F7"/>
    <mergeCell ref="C15:D15"/>
    <mergeCell ref="B1:F1"/>
    <mergeCell ref="D3:F3"/>
    <mergeCell ref="D4:F4"/>
    <mergeCell ref="D5:F5"/>
    <mergeCell ref="I18:J18"/>
    <mergeCell ref="K18:L18"/>
    <mergeCell ref="K21:L21"/>
    <mergeCell ref="K20:L20"/>
    <mergeCell ref="H16:L17"/>
    <mergeCell ref="I19:I23"/>
    <mergeCell ref="K8:L9"/>
    <mergeCell ref="A44:B44"/>
    <mergeCell ref="A35:A43"/>
    <mergeCell ref="F40:F43"/>
    <mergeCell ref="C50:D50"/>
    <mergeCell ref="A48:B48"/>
    <mergeCell ref="A50:B50"/>
    <mergeCell ref="C48:D48"/>
    <mergeCell ref="A47:B47"/>
    <mergeCell ref="A45:A46"/>
  </mergeCells>
  <conditionalFormatting sqref="C41:C43 C36:C38">
    <cfRule type="expression" priority="2" dxfId="0" stopIfTrue="1">
      <formula>C36=0</formula>
    </cfRule>
  </conditionalFormatting>
  <conditionalFormatting sqref="C13">
    <cfRule type="expression" priority="1" dxfId="0" stopIfTrue="1">
      <formula>C13=0</formula>
    </cfRule>
  </conditionalFormatting>
  <printOptions/>
  <pageMargins left="0.55"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I36"/>
  <sheetViews>
    <sheetView tabSelected="1" zoomScalePageLayoutView="0" workbookViewId="0" topLeftCell="A1">
      <selection activeCell="K11" sqref="K11"/>
    </sheetView>
  </sheetViews>
  <sheetFormatPr defaultColWidth="9.00390625" defaultRowHeight="19.5" customHeight="1"/>
  <cols>
    <col min="1" max="1" width="6.75390625" style="0" customWidth="1"/>
    <col min="2" max="8" width="10.75390625" style="0" customWidth="1"/>
    <col min="9" max="9" width="6.75390625" style="0" customWidth="1"/>
  </cols>
  <sheetData>
    <row r="1" s="25" customFormat="1" ht="19.5" customHeight="1">
      <c r="B1" s="25" t="s">
        <v>749</v>
      </c>
    </row>
    <row r="2" s="25" customFormat="1" ht="19.5" customHeight="1"/>
    <row r="3" s="25" customFormat="1" ht="19.5" customHeight="1"/>
    <row r="4" spans="3:6" s="25" customFormat="1" ht="19.5" customHeight="1">
      <c r="C4" s="699" t="s">
        <v>750</v>
      </c>
      <c r="F4" s="699" t="s">
        <v>751</v>
      </c>
    </row>
    <row r="5" s="25" customFormat="1" ht="19.5" customHeight="1">
      <c r="C5" s="25" t="s">
        <v>752</v>
      </c>
    </row>
    <row r="6" s="25" customFormat="1" ht="19.5" customHeight="1"/>
    <row r="7" spans="1:9" s="25" customFormat="1" ht="19.5" customHeight="1">
      <c r="A7" s="1377" t="s">
        <v>753</v>
      </c>
      <c r="B7" s="1378"/>
      <c r="C7" s="1378"/>
      <c r="D7" s="1378"/>
      <c r="E7" s="1378"/>
      <c r="F7" s="1378"/>
      <c r="G7" s="1378"/>
      <c r="H7" s="1378"/>
      <c r="I7" s="1379"/>
    </row>
    <row r="8" spans="1:9" s="25" customFormat="1" ht="19.5" customHeight="1">
      <c r="A8" s="1380"/>
      <c r="B8" s="1381"/>
      <c r="C8" s="1381"/>
      <c r="D8" s="1381"/>
      <c r="E8" s="1381"/>
      <c r="F8" s="1381"/>
      <c r="G8" s="1381"/>
      <c r="H8" s="1381"/>
      <c r="I8" s="1382"/>
    </row>
    <row r="9" s="25" customFormat="1" ht="19.5" customHeight="1"/>
    <row r="10" spans="1:9" s="25" customFormat="1" ht="19.5" customHeight="1">
      <c r="A10" s="1383" t="s">
        <v>754</v>
      </c>
      <c r="B10" s="1384"/>
      <c r="C10" s="1384"/>
      <c r="D10" s="1384"/>
      <c r="E10" s="1384"/>
      <c r="F10" s="1384"/>
      <c r="G10" s="1384"/>
      <c r="H10" s="1384"/>
      <c r="I10" s="1385"/>
    </row>
    <row r="11" spans="1:9" s="25" customFormat="1" ht="19.5" customHeight="1">
      <c r="A11" s="1386"/>
      <c r="B11" s="1387"/>
      <c r="C11" s="1387"/>
      <c r="D11" s="1387"/>
      <c r="E11" s="1387"/>
      <c r="F11" s="1387"/>
      <c r="G11" s="1387"/>
      <c r="H11" s="1387"/>
      <c r="I11" s="1388"/>
    </row>
    <row r="12" spans="1:9" s="25" customFormat="1" ht="19.5" customHeight="1">
      <c r="A12" s="1386"/>
      <c r="B12" s="1387"/>
      <c r="C12" s="1387"/>
      <c r="D12" s="1387"/>
      <c r="E12" s="1387"/>
      <c r="F12" s="1387"/>
      <c r="G12" s="1387"/>
      <c r="H12" s="1387"/>
      <c r="I12" s="1388"/>
    </row>
    <row r="13" spans="1:9" s="25" customFormat="1" ht="19.5" customHeight="1">
      <c r="A13" s="1386"/>
      <c r="B13" s="1387"/>
      <c r="C13" s="1387"/>
      <c r="D13" s="1387"/>
      <c r="E13" s="1387"/>
      <c r="F13" s="1387"/>
      <c r="G13" s="1387"/>
      <c r="H13" s="1387"/>
      <c r="I13" s="1388"/>
    </row>
    <row r="14" spans="1:9" s="25" customFormat="1" ht="19.5" customHeight="1">
      <c r="A14" s="1386"/>
      <c r="B14" s="1387"/>
      <c r="C14" s="1387"/>
      <c r="D14" s="1387"/>
      <c r="E14" s="1387"/>
      <c r="F14" s="1387"/>
      <c r="G14" s="1387"/>
      <c r="H14" s="1387"/>
      <c r="I14" s="1388"/>
    </row>
    <row r="15" spans="1:9" s="25" customFormat="1" ht="19.5" customHeight="1">
      <c r="A15" s="1386"/>
      <c r="B15" s="1387"/>
      <c r="C15" s="1387"/>
      <c r="D15" s="1387"/>
      <c r="E15" s="1387"/>
      <c r="F15" s="1387"/>
      <c r="G15" s="1387"/>
      <c r="H15" s="1387"/>
      <c r="I15" s="1388"/>
    </row>
    <row r="16" spans="1:9" s="25" customFormat="1" ht="9.75" customHeight="1">
      <c r="A16" s="1386"/>
      <c r="B16" s="1387"/>
      <c r="C16" s="1387"/>
      <c r="D16" s="1387"/>
      <c r="E16" s="1387"/>
      <c r="F16" s="1387"/>
      <c r="G16" s="1387"/>
      <c r="H16" s="1387"/>
      <c r="I16" s="1388"/>
    </row>
    <row r="17" spans="1:9" s="25" customFormat="1" ht="9.75" customHeight="1">
      <c r="A17" s="1386"/>
      <c r="B17" s="1387"/>
      <c r="C17" s="1387"/>
      <c r="D17" s="1387"/>
      <c r="E17" s="1387"/>
      <c r="F17" s="1387"/>
      <c r="G17" s="1387"/>
      <c r="H17" s="1387"/>
      <c r="I17" s="1388"/>
    </row>
    <row r="18" spans="1:9" s="25" customFormat="1" ht="9.75" customHeight="1">
      <c r="A18" s="1386"/>
      <c r="B18" s="1387"/>
      <c r="C18" s="1387"/>
      <c r="D18" s="1387"/>
      <c r="E18" s="1387"/>
      <c r="F18" s="1387"/>
      <c r="G18" s="1387"/>
      <c r="H18" s="1387"/>
      <c r="I18" s="1388"/>
    </row>
    <row r="19" spans="1:9" s="25" customFormat="1" ht="9.75" customHeight="1">
      <c r="A19" s="1386"/>
      <c r="B19" s="1387"/>
      <c r="C19" s="1387"/>
      <c r="D19" s="1387"/>
      <c r="E19" s="1387"/>
      <c r="F19" s="1387"/>
      <c r="G19" s="1387"/>
      <c r="H19" s="1387"/>
      <c r="I19" s="1388"/>
    </row>
    <row r="20" spans="1:9" s="25" customFormat="1" ht="19.5" customHeight="1">
      <c r="A20" s="700"/>
      <c r="B20" s="1374" t="s">
        <v>755</v>
      </c>
      <c r="C20" s="1374"/>
      <c r="D20" s="1375" t="s">
        <v>756</v>
      </c>
      <c r="E20" s="1375"/>
      <c r="F20" s="1375"/>
      <c r="G20" s="1375"/>
      <c r="H20" s="1375"/>
      <c r="I20" s="701"/>
    </row>
    <row r="21" spans="1:9" s="25" customFormat="1" ht="19.5" customHeight="1">
      <c r="A21" s="700"/>
      <c r="B21" s="1374"/>
      <c r="C21" s="1374"/>
      <c r="D21" s="1375"/>
      <c r="E21" s="1375"/>
      <c r="F21" s="1375"/>
      <c r="G21" s="1375"/>
      <c r="H21" s="1375"/>
      <c r="I21" s="701"/>
    </row>
    <row r="22" spans="1:9" s="25" customFormat="1" ht="19.5" customHeight="1">
      <c r="A22" s="700"/>
      <c r="B22" s="1374"/>
      <c r="C22" s="1374"/>
      <c r="D22" s="1375"/>
      <c r="E22" s="1375"/>
      <c r="F22" s="1375"/>
      <c r="G22" s="1375"/>
      <c r="H22" s="1375"/>
      <c r="I22" s="701"/>
    </row>
    <row r="23" spans="1:9" s="25" customFormat="1" ht="19.5" customHeight="1">
      <c r="A23" s="700"/>
      <c r="B23" s="1374"/>
      <c r="C23" s="1374"/>
      <c r="D23" s="1375"/>
      <c r="E23" s="1375"/>
      <c r="F23" s="1375"/>
      <c r="G23" s="1375"/>
      <c r="H23" s="1375"/>
      <c r="I23" s="701"/>
    </row>
    <row r="24" spans="1:9" s="25" customFormat="1" ht="19.5" customHeight="1">
      <c r="A24" s="700"/>
      <c r="B24" s="1374" t="s">
        <v>757</v>
      </c>
      <c r="C24" s="1374"/>
      <c r="D24" s="1375" t="s">
        <v>758</v>
      </c>
      <c r="E24" s="1375"/>
      <c r="F24" s="1375"/>
      <c r="G24" s="1375"/>
      <c r="H24" s="1375"/>
      <c r="I24" s="701"/>
    </row>
    <row r="25" spans="1:9" s="25" customFormat="1" ht="19.5" customHeight="1">
      <c r="A25" s="700"/>
      <c r="B25" s="1374"/>
      <c r="C25" s="1374"/>
      <c r="D25" s="1375"/>
      <c r="E25" s="1375"/>
      <c r="F25" s="1375"/>
      <c r="G25" s="1375"/>
      <c r="H25" s="1375"/>
      <c r="I25" s="701"/>
    </row>
    <row r="26" spans="1:9" s="25" customFormat="1" ht="19.5" customHeight="1">
      <c r="A26" s="700"/>
      <c r="B26" s="1374"/>
      <c r="C26" s="1374"/>
      <c r="D26" s="1375"/>
      <c r="E26" s="1375"/>
      <c r="F26" s="1375"/>
      <c r="G26" s="1375"/>
      <c r="H26" s="1375"/>
      <c r="I26" s="701"/>
    </row>
    <row r="27" spans="1:9" s="25" customFormat="1" ht="19.5" customHeight="1">
      <c r="A27" s="700"/>
      <c r="B27" s="1374"/>
      <c r="C27" s="1374"/>
      <c r="D27" s="1375"/>
      <c r="E27" s="1375"/>
      <c r="F27" s="1375"/>
      <c r="G27" s="1375"/>
      <c r="H27" s="1375"/>
      <c r="I27" s="701"/>
    </row>
    <row r="28" spans="1:9" s="25" customFormat="1" ht="19.5" customHeight="1">
      <c r="A28" s="700"/>
      <c r="B28" s="1374"/>
      <c r="C28" s="1374"/>
      <c r="D28" s="1375"/>
      <c r="E28" s="1375"/>
      <c r="F28" s="1375"/>
      <c r="G28" s="1375"/>
      <c r="H28" s="1375"/>
      <c r="I28" s="701"/>
    </row>
    <row r="29" spans="1:9" s="25" customFormat="1" ht="19.5" customHeight="1">
      <c r="A29" s="700"/>
      <c r="B29" s="1374"/>
      <c r="C29" s="1374"/>
      <c r="D29" s="1375"/>
      <c r="E29" s="1375"/>
      <c r="F29" s="1375"/>
      <c r="G29" s="1375"/>
      <c r="H29" s="1375"/>
      <c r="I29" s="701"/>
    </row>
    <row r="30" spans="1:9" s="25" customFormat="1" ht="19.5" customHeight="1">
      <c r="A30" s="700"/>
      <c r="B30" s="1374"/>
      <c r="C30" s="1374"/>
      <c r="D30" s="1375"/>
      <c r="E30" s="1375"/>
      <c r="F30" s="1375"/>
      <c r="G30" s="1375"/>
      <c r="H30" s="1375"/>
      <c r="I30" s="701"/>
    </row>
    <row r="31" spans="1:9" s="25" customFormat="1" ht="18.75" customHeight="1">
      <c r="A31" s="700"/>
      <c r="B31" s="702"/>
      <c r="C31" s="702"/>
      <c r="D31" s="702"/>
      <c r="E31" s="702"/>
      <c r="F31" s="702"/>
      <c r="G31" s="702"/>
      <c r="H31" s="702"/>
      <c r="I31" s="701"/>
    </row>
    <row r="32" spans="1:9" s="25" customFormat="1" ht="21" customHeight="1">
      <c r="A32" s="700"/>
      <c r="B32" s="703" t="s">
        <v>759</v>
      </c>
      <c r="C32" s="704"/>
      <c r="D32" s="704"/>
      <c r="E32" s="704"/>
      <c r="F32" s="704"/>
      <c r="G32" s="704"/>
      <c r="H32" s="705"/>
      <c r="I32" s="701"/>
    </row>
    <row r="33" spans="1:9" s="25" customFormat="1" ht="39.75" customHeight="1">
      <c r="A33" s="700"/>
      <c r="B33" s="706" t="s">
        <v>760</v>
      </c>
      <c r="C33" s="707"/>
      <c r="D33" s="707"/>
      <c r="E33" s="707"/>
      <c r="F33" s="707"/>
      <c r="G33" s="707"/>
      <c r="H33" s="708"/>
      <c r="I33" s="701"/>
    </row>
    <row r="34" spans="1:9" s="25" customFormat="1" ht="39.75" customHeight="1">
      <c r="A34" s="700"/>
      <c r="B34" s="700"/>
      <c r="C34" s="702"/>
      <c r="D34" s="702"/>
      <c r="E34" s="702"/>
      <c r="F34" s="702"/>
      <c r="G34" s="702" t="s">
        <v>764</v>
      </c>
      <c r="H34" s="701"/>
      <c r="I34" s="701"/>
    </row>
    <row r="35" spans="1:9" s="25" customFormat="1" ht="39.75" customHeight="1">
      <c r="A35" s="700"/>
      <c r="B35" s="709" t="s">
        <v>761</v>
      </c>
      <c r="C35" s="710"/>
      <c r="D35" s="1376" t="s">
        <v>762</v>
      </c>
      <c r="E35" s="1376"/>
      <c r="F35" s="1376"/>
      <c r="G35" s="710" t="s">
        <v>763</v>
      </c>
      <c r="H35" s="711"/>
      <c r="I35" s="701"/>
    </row>
    <row r="36" spans="1:9" s="25" customFormat="1" ht="27" customHeight="1">
      <c r="A36" s="709"/>
      <c r="B36" s="710"/>
      <c r="C36" s="710"/>
      <c r="D36" s="710"/>
      <c r="E36" s="710"/>
      <c r="F36" s="710"/>
      <c r="G36" s="710"/>
      <c r="H36" s="710"/>
      <c r="I36" s="711"/>
    </row>
  </sheetData>
  <sheetProtection/>
  <mergeCells count="7">
    <mergeCell ref="B24:C30"/>
    <mergeCell ref="D24:H30"/>
    <mergeCell ref="D35:F35"/>
    <mergeCell ref="A7:I8"/>
    <mergeCell ref="A10:I19"/>
    <mergeCell ref="B20:C23"/>
    <mergeCell ref="D20:H2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AG29"/>
  <sheetViews>
    <sheetView zoomScale="70" zoomScaleNormal="70" zoomScalePageLayoutView="0" workbookViewId="0" topLeftCell="B16">
      <selection activeCell="AA27" sqref="AA27"/>
    </sheetView>
  </sheetViews>
  <sheetFormatPr defaultColWidth="9.00390625" defaultRowHeight="13.5"/>
  <cols>
    <col min="1" max="1" width="2.375" style="668" customWidth="1"/>
    <col min="2" max="16384" width="8.875" style="668" customWidth="1"/>
  </cols>
  <sheetData>
    <row r="1" s="635" customFormat="1" ht="39.75" customHeight="1">
      <c r="B1" s="636" t="s">
        <v>646</v>
      </c>
    </row>
    <row r="2" spans="2:33" s="635" customFormat="1" ht="39.75" customHeight="1">
      <c r="B2" s="717" t="s">
        <v>647</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row>
    <row r="3" spans="19:33" s="635" customFormat="1" ht="39.75" customHeight="1" thickBot="1">
      <c r="S3" s="638"/>
      <c r="AB3" s="847" t="s">
        <v>765</v>
      </c>
      <c r="AC3" s="847"/>
      <c r="AD3" s="847"/>
      <c r="AE3" s="847"/>
      <c r="AF3" s="847"/>
      <c r="AG3" s="847"/>
    </row>
    <row r="4" spans="2:33" s="635" customFormat="1" ht="39.75" customHeight="1" thickBot="1">
      <c r="B4" s="639"/>
      <c r="C4" s="718" t="s">
        <v>648</v>
      </c>
      <c r="D4" s="718"/>
      <c r="E4" s="718"/>
      <c r="F4" s="718"/>
      <c r="G4" s="718"/>
      <c r="H4" s="719"/>
      <c r="K4" s="720" t="s">
        <v>649</v>
      </c>
      <c r="L4" s="723" t="s">
        <v>120</v>
      </c>
      <c r="M4" s="724"/>
      <c r="N4" s="724"/>
      <c r="O4" s="725"/>
      <c r="P4" s="726"/>
      <c r="Q4" s="726"/>
      <c r="R4" s="726"/>
      <c r="S4" s="726"/>
      <c r="T4" s="726"/>
      <c r="U4" s="726"/>
      <c r="V4" s="726"/>
      <c r="W4" s="726"/>
      <c r="X4" s="727"/>
      <c r="Y4" s="727"/>
      <c r="Z4" s="727"/>
      <c r="AA4" s="726" t="s">
        <v>650</v>
      </c>
      <c r="AB4" s="726"/>
      <c r="AC4" s="726"/>
      <c r="AD4" s="726"/>
      <c r="AE4" s="726"/>
      <c r="AF4" s="726"/>
      <c r="AG4" s="728"/>
    </row>
    <row r="5" spans="2:33" s="635" customFormat="1" ht="39.75" customHeight="1">
      <c r="B5" s="640"/>
      <c r="C5" s="729"/>
      <c r="D5" s="729"/>
      <c r="E5" s="729"/>
      <c r="F5" s="729"/>
      <c r="G5" s="729"/>
      <c r="H5" s="729"/>
      <c r="K5" s="721"/>
      <c r="L5" s="730" t="s">
        <v>651</v>
      </c>
      <c r="M5" s="731"/>
      <c r="N5" s="731"/>
      <c r="O5" s="732"/>
      <c r="P5" s="733"/>
      <c r="Q5" s="731"/>
      <c r="R5" s="731"/>
      <c r="S5" s="731"/>
      <c r="T5" s="731"/>
      <c r="U5" s="731"/>
      <c r="V5" s="731"/>
      <c r="W5" s="731"/>
      <c r="X5" s="734" t="s">
        <v>652</v>
      </c>
      <c r="Y5" s="734"/>
      <c r="Z5" s="734"/>
      <c r="AA5" s="735"/>
      <c r="AB5" s="735"/>
      <c r="AC5" s="735"/>
      <c r="AD5" s="735"/>
      <c r="AE5" s="735"/>
      <c r="AF5" s="735"/>
      <c r="AG5" s="736"/>
    </row>
    <row r="6" spans="2:33" s="635" customFormat="1" ht="39.75" customHeight="1">
      <c r="B6" s="641"/>
      <c r="C6" s="737"/>
      <c r="D6" s="737"/>
      <c r="E6" s="737"/>
      <c r="F6" s="737"/>
      <c r="G6" s="737"/>
      <c r="H6" s="737"/>
      <c r="K6" s="721"/>
      <c r="L6" s="738" t="s">
        <v>653</v>
      </c>
      <c r="M6" s="731"/>
      <c r="N6" s="731"/>
      <c r="O6" s="732"/>
      <c r="P6" s="733"/>
      <c r="Q6" s="731"/>
      <c r="R6" s="731"/>
      <c r="S6" s="731"/>
      <c r="T6" s="731"/>
      <c r="U6" s="731"/>
      <c r="V6" s="731" t="s">
        <v>654</v>
      </c>
      <c r="W6" s="732"/>
      <c r="X6" s="739" t="s">
        <v>655</v>
      </c>
      <c r="Y6" s="739"/>
      <c r="Z6" s="739"/>
      <c r="AA6" s="735"/>
      <c r="AB6" s="735"/>
      <c r="AC6" s="735"/>
      <c r="AD6" s="735"/>
      <c r="AE6" s="735"/>
      <c r="AF6" s="735"/>
      <c r="AG6" s="736"/>
    </row>
    <row r="7" spans="2:33" s="635" customFormat="1" ht="39.75" customHeight="1" thickBot="1">
      <c r="B7" s="641"/>
      <c r="C7" s="737"/>
      <c r="D7" s="737"/>
      <c r="E7" s="737"/>
      <c r="F7" s="737"/>
      <c r="G7" s="737"/>
      <c r="H7" s="737"/>
      <c r="K7" s="722"/>
      <c r="L7" s="740" t="s">
        <v>656</v>
      </c>
      <c r="M7" s="741"/>
      <c r="N7" s="741"/>
      <c r="O7" s="742"/>
      <c r="P7" s="743" t="s">
        <v>657</v>
      </c>
      <c r="Q7" s="743"/>
      <c r="R7" s="743"/>
      <c r="S7" s="743"/>
      <c r="T7" s="743"/>
      <c r="U7" s="743"/>
      <c r="V7" s="743"/>
      <c r="W7" s="743"/>
      <c r="X7" s="743" t="s">
        <v>658</v>
      </c>
      <c r="Y7" s="743"/>
      <c r="Z7" s="743"/>
      <c r="AA7" s="743"/>
      <c r="AB7" s="743"/>
      <c r="AC7" s="743"/>
      <c r="AD7" s="743"/>
      <c r="AE7" s="743"/>
      <c r="AF7" s="743"/>
      <c r="AG7" s="744"/>
    </row>
    <row r="8" spans="2:20" s="635" customFormat="1" ht="39.75" customHeight="1">
      <c r="B8" s="641"/>
      <c r="C8" s="745"/>
      <c r="D8" s="745"/>
      <c r="E8" s="745"/>
      <c r="F8" s="745"/>
      <c r="G8" s="745"/>
      <c r="T8" s="642"/>
    </row>
    <row r="9" spans="2:33" s="635" customFormat="1" ht="39.75" customHeight="1" thickBot="1">
      <c r="B9" s="746" t="s">
        <v>659</v>
      </c>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row>
    <row r="10" spans="2:33" s="635" customFormat="1" ht="39.75" customHeight="1" thickBot="1">
      <c r="B10" s="747" t="s">
        <v>660</v>
      </c>
      <c r="C10" s="748"/>
      <c r="D10" s="748"/>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9"/>
    </row>
    <row r="11" spans="2:33" s="635" customFormat="1" ht="39.75" customHeight="1" thickBot="1">
      <c r="B11" s="750" t="s">
        <v>661</v>
      </c>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2"/>
    </row>
    <row r="12" spans="2:33" s="635" customFormat="1" ht="39.75" customHeight="1">
      <c r="B12" s="753" t="s">
        <v>662</v>
      </c>
      <c r="C12" s="754"/>
      <c r="D12" s="754"/>
      <c r="E12" s="754"/>
      <c r="F12" s="754"/>
      <c r="G12" s="754"/>
      <c r="H12" s="754"/>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5"/>
    </row>
    <row r="13" spans="2:33" s="635" customFormat="1" ht="39.75" customHeight="1">
      <c r="B13" s="756" t="s">
        <v>317</v>
      </c>
      <c r="C13" s="757"/>
      <c r="D13" s="757"/>
      <c r="E13" s="757"/>
      <c r="F13" s="757"/>
      <c r="G13" s="757"/>
      <c r="H13" s="757"/>
      <c r="I13" s="757"/>
      <c r="J13" s="757"/>
      <c r="K13" s="757"/>
      <c r="L13" s="757"/>
      <c r="M13" s="757"/>
      <c r="N13" s="757"/>
      <c r="O13" s="757"/>
      <c r="P13" s="757"/>
      <c r="Q13" s="758"/>
      <c r="R13" s="759" t="s">
        <v>663</v>
      </c>
      <c r="S13" s="759"/>
      <c r="T13" s="759"/>
      <c r="U13" s="759"/>
      <c r="V13" s="759"/>
      <c r="W13" s="759"/>
      <c r="X13" s="759"/>
      <c r="Y13" s="759"/>
      <c r="Z13" s="759"/>
      <c r="AA13" s="759"/>
      <c r="AB13" s="759"/>
      <c r="AC13" s="759"/>
      <c r="AD13" s="759"/>
      <c r="AE13" s="759"/>
      <c r="AF13" s="759"/>
      <c r="AG13" s="760"/>
    </row>
    <row r="14" spans="2:33" s="635" customFormat="1" ht="39.75" customHeight="1">
      <c r="B14" s="761" t="s">
        <v>664</v>
      </c>
      <c r="C14" s="762"/>
      <c r="D14" s="762"/>
      <c r="E14" s="762"/>
      <c r="F14" s="762"/>
      <c r="G14" s="762"/>
      <c r="H14" s="762"/>
      <c r="I14" s="762"/>
      <c r="J14" s="762"/>
      <c r="K14" s="762"/>
      <c r="L14" s="762"/>
      <c r="M14" s="762"/>
      <c r="N14" s="762"/>
      <c r="O14" s="763" t="s">
        <v>665</v>
      </c>
      <c r="P14" s="763"/>
      <c r="Q14" s="764"/>
      <c r="R14" s="761" t="s">
        <v>664</v>
      </c>
      <c r="S14" s="762"/>
      <c r="T14" s="762"/>
      <c r="U14" s="762"/>
      <c r="V14" s="762"/>
      <c r="W14" s="762"/>
      <c r="X14" s="762"/>
      <c r="Y14" s="762"/>
      <c r="Z14" s="762"/>
      <c r="AA14" s="762"/>
      <c r="AB14" s="762"/>
      <c r="AC14" s="762"/>
      <c r="AD14" s="762"/>
      <c r="AE14" s="763" t="s">
        <v>665</v>
      </c>
      <c r="AF14" s="763"/>
      <c r="AG14" s="764"/>
    </row>
    <row r="15" spans="2:33" s="635" customFormat="1" ht="39.75" customHeight="1">
      <c r="B15" s="767" t="s">
        <v>666</v>
      </c>
      <c r="C15" s="768"/>
      <c r="D15" s="768"/>
      <c r="E15" s="768"/>
      <c r="F15" s="768"/>
      <c r="G15" s="768"/>
      <c r="H15" s="768"/>
      <c r="I15" s="768"/>
      <c r="J15" s="768"/>
      <c r="K15" s="768"/>
      <c r="L15" s="768"/>
      <c r="M15" s="768"/>
      <c r="N15" s="768"/>
      <c r="O15" s="765"/>
      <c r="P15" s="765"/>
      <c r="Q15" s="766"/>
      <c r="R15" s="767" t="s">
        <v>667</v>
      </c>
      <c r="S15" s="768"/>
      <c r="T15" s="768"/>
      <c r="U15" s="768"/>
      <c r="V15" s="768"/>
      <c r="W15" s="768"/>
      <c r="X15" s="768"/>
      <c r="Y15" s="768"/>
      <c r="Z15" s="768"/>
      <c r="AA15" s="768"/>
      <c r="AB15" s="768"/>
      <c r="AC15" s="768"/>
      <c r="AD15" s="768"/>
      <c r="AE15" s="765"/>
      <c r="AF15" s="765"/>
      <c r="AG15" s="766"/>
    </row>
    <row r="16" spans="2:33" s="635" customFormat="1" ht="39.75" customHeight="1" thickBot="1">
      <c r="B16" s="769" t="s">
        <v>668</v>
      </c>
      <c r="C16" s="770"/>
      <c r="D16" s="770"/>
      <c r="E16" s="770"/>
      <c r="F16" s="770"/>
      <c r="G16" s="770"/>
      <c r="H16" s="770"/>
      <c r="I16" s="770"/>
      <c r="J16" s="770"/>
      <c r="K16" s="770"/>
      <c r="L16" s="770"/>
      <c r="M16" s="770"/>
      <c r="N16" s="770"/>
      <c r="O16" s="770"/>
      <c r="P16" s="770"/>
      <c r="Q16" s="771"/>
      <c r="R16" s="769" t="s">
        <v>669</v>
      </c>
      <c r="S16" s="770"/>
      <c r="T16" s="770"/>
      <c r="U16" s="770"/>
      <c r="V16" s="770"/>
      <c r="W16" s="770"/>
      <c r="X16" s="770"/>
      <c r="Y16" s="770"/>
      <c r="Z16" s="770"/>
      <c r="AA16" s="770"/>
      <c r="AB16" s="770"/>
      <c r="AC16" s="770"/>
      <c r="AD16" s="770"/>
      <c r="AE16" s="770"/>
      <c r="AF16" s="770"/>
      <c r="AG16" s="771"/>
    </row>
    <row r="17" spans="2:33" s="635" customFormat="1" ht="39.75" customHeight="1">
      <c r="B17" s="772" t="s">
        <v>670</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4"/>
      <c r="AB17" s="774"/>
      <c r="AC17" s="774"/>
      <c r="AD17" s="774"/>
      <c r="AE17" s="774"/>
      <c r="AF17" s="773"/>
      <c r="AG17" s="775"/>
    </row>
    <row r="18" spans="2:33" s="635" customFormat="1" ht="39.75" customHeight="1">
      <c r="B18" s="643"/>
      <c r="C18" s="644"/>
      <c r="D18" s="644"/>
      <c r="E18" s="644"/>
      <c r="F18" s="644"/>
      <c r="G18" s="645"/>
      <c r="H18" s="734" t="s">
        <v>3</v>
      </c>
      <c r="I18" s="734"/>
      <c r="J18" s="734"/>
      <c r="K18" s="734"/>
      <c r="L18" s="734" t="s">
        <v>671</v>
      </c>
      <c r="M18" s="734"/>
      <c r="N18" s="734"/>
      <c r="O18" s="734"/>
      <c r="P18" s="776"/>
      <c r="Q18" s="777"/>
      <c r="R18" s="777"/>
      <c r="S18" s="777"/>
      <c r="T18" s="777"/>
      <c r="U18" s="778"/>
      <c r="V18" s="779" t="s">
        <v>3</v>
      </c>
      <c r="W18" s="779"/>
      <c r="X18" s="779"/>
      <c r="Y18" s="779"/>
      <c r="Z18" s="735" t="s">
        <v>671</v>
      </c>
      <c r="AA18" s="735"/>
      <c r="AB18" s="735"/>
      <c r="AC18" s="735"/>
      <c r="AD18" s="780" t="s">
        <v>672</v>
      </c>
      <c r="AE18" s="781"/>
      <c r="AF18" s="776" t="s">
        <v>673</v>
      </c>
      <c r="AG18" s="784"/>
    </row>
    <row r="19" spans="2:33" s="635" customFormat="1" ht="39.75" customHeight="1">
      <c r="B19" s="789" t="s">
        <v>674</v>
      </c>
      <c r="C19" s="790"/>
      <c r="D19" s="790"/>
      <c r="E19" s="790"/>
      <c r="F19" s="790"/>
      <c r="G19" s="791"/>
      <c r="H19" s="795"/>
      <c r="I19" s="796"/>
      <c r="J19" s="797" t="s">
        <v>571</v>
      </c>
      <c r="K19" s="798"/>
      <c r="L19" s="795"/>
      <c r="M19" s="796"/>
      <c r="N19" s="797" t="s">
        <v>571</v>
      </c>
      <c r="O19" s="798"/>
      <c r="P19" s="792" t="s">
        <v>313</v>
      </c>
      <c r="Q19" s="793"/>
      <c r="R19" s="793"/>
      <c r="S19" s="793"/>
      <c r="T19" s="793"/>
      <c r="U19" s="794"/>
      <c r="V19" s="715"/>
      <c r="W19" s="716"/>
      <c r="X19" s="713" t="s">
        <v>314</v>
      </c>
      <c r="Y19" s="714"/>
      <c r="Z19" s="715"/>
      <c r="AA19" s="716"/>
      <c r="AB19" s="713" t="s">
        <v>314</v>
      </c>
      <c r="AC19" s="714"/>
      <c r="AD19" s="780"/>
      <c r="AE19" s="781"/>
      <c r="AF19" s="785"/>
      <c r="AG19" s="786"/>
    </row>
    <row r="20" spans="2:33" s="635" customFormat="1" ht="39.75" customHeight="1" thickBot="1">
      <c r="B20" s="646"/>
      <c r="C20" s="799" t="s">
        <v>675</v>
      </c>
      <c r="D20" s="800"/>
      <c r="E20" s="800"/>
      <c r="F20" s="800"/>
      <c r="G20" s="801"/>
      <c r="H20" s="795"/>
      <c r="I20" s="796"/>
      <c r="J20" s="797" t="s">
        <v>571</v>
      </c>
      <c r="K20" s="798"/>
      <c r="L20" s="795"/>
      <c r="M20" s="796"/>
      <c r="N20" s="797" t="s">
        <v>571</v>
      </c>
      <c r="O20" s="798"/>
      <c r="P20" s="647"/>
      <c r="Q20" s="799" t="s">
        <v>676</v>
      </c>
      <c r="R20" s="800"/>
      <c r="S20" s="800"/>
      <c r="T20" s="800"/>
      <c r="U20" s="801"/>
      <c r="V20" s="715"/>
      <c r="W20" s="716"/>
      <c r="X20" s="713" t="s">
        <v>314</v>
      </c>
      <c r="Y20" s="714"/>
      <c r="Z20" s="715"/>
      <c r="AA20" s="716"/>
      <c r="AB20" s="713" t="s">
        <v>314</v>
      </c>
      <c r="AC20" s="714"/>
      <c r="AD20" s="782"/>
      <c r="AE20" s="783"/>
      <c r="AF20" s="787"/>
      <c r="AG20" s="788"/>
    </row>
    <row r="21" spans="2:33" s="635" customFormat="1" ht="39.75" customHeight="1" thickBot="1">
      <c r="B21" s="802" t="s">
        <v>677</v>
      </c>
      <c r="C21" s="803"/>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4"/>
    </row>
    <row r="22" spans="2:33" s="635" customFormat="1" ht="39.75" customHeight="1">
      <c r="B22" s="805" t="s">
        <v>678</v>
      </c>
      <c r="C22" s="806"/>
      <c r="D22" s="806"/>
      <c r="E22" s="806"/>
      <c r="F22" s="806"/>
      <c r="G22" s="806"/>
      <c r="H22" s="806"/>
      <c r="I22" s="806"/>
      <c r="J22" s="806"/>
      <c r="K22" s="806"/>
      <c r="L22" s="806"/>
      <c r="M22" s="806"/>
      <c r="N22" s="806"/>
      <c r="O22" s="806"/>
      <c r="P22" s="806"/>
      <c r="Q22" s="806"/>
      <c r="R22" s="806"/>
      <c r="S22" s="806"/>
      <c r="T22" s="806"/>
      <c r="U22" s="806"/>
      <c r="V22" s="806"/>
      <c r="W22" s="807"/>
      <c r="X22" s="808" t="s">
        <v>679</v>
      </c>
      <c r="Y22" s="809"/>
      <c r="Z22" s="809"/>
      <c r="AA22" s="809"/>
      <c r="AB22" s="809"/>
      <c r="AC22" s="809"/>
      <c r="AD22" s="809"/>
      <c r="AE22" s="809"/>
      <c r="AF22" s="809"/>
      <c r="AG22" s="810"/>
    </row>
    <row r="23" spans="2:33" s="635" customFormat="1" ht="39.75" customHeight="1">
      <c r="B23" s="814" t="s">
        <v>680</v>
      </c>
      <c r="C23" s="763"/>
      <c r="D23" s="815"/>
      <c r="E23" s="819" t="s">
        <v>681</v>
      </c>
      <c r="F23" s="763"/>
      <c r="G23" s="820"/>
      <c r="H23" s="821"/>
      <c r="I23" s="822" t="s">
        <v>663</v>
      </c>
      <c r="J23" s="757"/>
      <c r="K23" s="757"/>
      <c r="L23" s="758"/>
      <c r="M23" s="814" t="s">
        <v>682</v>
      </c>
      <c r="N23" s="763"/>
      <c r="O23" s="815"/>
      <c r="P23" s="825" t="s">
        <v>681</v>
      </c>
      <c r="Q23" s="820"/>
      <c r="R23" s="820"/>
      <c r="S23" s="821"/>
      <c r="T23" s="822" t="s">
        <v>663</v>
      </c>
      <c r="U23" s="757"/>
      <c r="V23" s="757"/>
      <c r="W23" s="758"/>
      <c r="X23" s="811"/>
      <c r="Y23" s="812"/>
      <c r="Z23" s="812"/>
      <c r="AA23" s="812"/>
      <c r="AB23" s="812"/>
      <c r="AC23" s="812"/>
      <c r="AD23" s="812"/>
      <c r="AE23" s="812"/>
      <c r="AF23" s="812"/>
      <c r="AG23" s="813"/>
    </row>
    <row r="24" spans="2:33" s="635" customFormat="1" ht="39.75" customHeight="1">
      <c r="B24" s="816"/>
      <c r="C24" s="765"/>
      <c r="D24" s="765"/>
      <c r="E24" s="826" t="s">
        <v>683</v>
      </c>
      <c r="F24" s="827"/>
      <c r="G24" s="826" t="s">
        <v>684</v>
      </c>
      <c r="H24" s="827"/>
      <c r="I24" s="826" t="s">
        <v>685</v>
      </c>
      <c r="J24" s="827"/>
      <c r="K24" s="826" t="s">
        <v>684</v>
      </c>
      <c r="L24" s="827"/>
      <c r="M24" s="816"/>
      <c r="N24" s="765"/>
      <c r="O24" s="823"/>
      <c r="P24" s="830" t="s">
        <v>686</v>
      </c>
      <c r="Q24" s="831"/>
      <c r="R24" s="826" t="s">
        <v>684</v>
      </c>
      <c r="S24" s="827"/>
      <c r="T24" s="830" t="s">
        <v>686</v>
      </c>
      <c r="U24" s="831"/>
      <c r="V24" s="826" t="s">
        <v>684</v>
      </c>
      <c r="W24" s="827"/>
      <c r="X24" s="756" t="s">
        <v>687</v>
      </c>
      <c r="Y24" s="757"/>
      <c r="Z24" s="757"/>
      <c r="AA24" s="833"/>
      <c r="AB24" s="822" t="s">
        <v>688</v>
      </c>
      <c r="AC24" s="757"/>
      <c r="AD24" s="833"/>
      <c r="AE24" s="834" t="s">
        <v>689</v>
      </c>
      <c r="AF24" s="835"/>
      <c r="AG24" s="836"/>
    </row>
    <row r="25" spans="2:33" s="635" customFormat="1" ht="39.75" customHeight="1">
      <c r="B25" s="817"/>
      <c r="C25" s="818"/>
      <c r="D25" s="818"/>
      <c r="E25" s="828"/>
      <c r="F25" s="829"/>
      <c r="G25" s="828"/>
      <c r="H25" s="829"/>
      <c r="I25" s="828"/>
      <c r="J25" s="829"/>
      <c r="K25" s="828"/>
      <c r="L25" s="829"/>
      <c r="M25" s="817"/>
      <c r="N25" s="818"/>
      <c r="O25" s="824"/>
      <c r="P25" s="832"/>
      <c r="Q25" s="818"/>
      <c r="R25" s="828"/>
      <c r="S25" s="829"/>
      <c r="T25" s="832"/>
      <c r="U25" s="818"/>
      <c r="V25" s="828"/>
      <c r="W25" s="829"/>
      <c r="X25" s="650"/>
      <c r="Y25" s="651"/>
      <c r="Z25" s="651"/>
      <c r="AA25" s="651"/>
      <c r="AB25" s="837" t="s">
        <v>571</v>
      </c>
      <c r="AC25" s="838"/>
      <c r="AD25" s="839"/>
      <c r="AE25" s="837" t="s">
        <v>571</v>
      </c>
      <c r="AF25" s="838"/>
      <c r="AG25" s="840"/>
    </row>
    <row r="26" spans="2:33" s="635" customFormat="1" ht="39.75" customHeight="1">
      <c r="B26" s="841"/>
      <c r="C26" s="842"/>
      <c r="D26" s="843"/>
      <c r="E26" s="652"/>
      <c r="F26" s="653" t="s">
        <v>690</v>
      </c>
      <c r="G26" s="654"/>
      <c r="H26" s="654"/>
      <c r="I26" s="655"/>
      <c r="J26" s="653" t="s">
        <v>691</v>
      </c>
      <c r="K26" s="654"/>
      <c r="L26" s="656"/>
      <c r="M26" s="841"/>
      <c r="N26" s="842"/>
      <c r="O26" s="843"/>
      <c r="P26" s="655"/>
      <c r="Q26" s="657" t="s">
        <v>4</v>
      </c>
      <c r="R26" s="654"/>
      <c r="S26" s="654"/>
      <c r="T26" s="655"/>
      <c r="U26" s="657" t="s">
        <v>4</v>
      </c>
      <c r="V26" s="654"/>
      <c r="W26" s="656"/>
      <c r="X26" s="650"/>
      <c r="Y26" s="651"/>
      <c r="Z26" s="651"/>
      <c r="AA26" s="651"/>
      <c r="AB26" s="837" t="s">
        <v>571</v>
      </c>
      <c r="AC26" s="838"/>
      <c r="AD26" s="839"/>
      <c r="AE26" s="837" t="s">
        <v>571</v>
      </c>
      <c r="AF26" s="838"/>
      <c r="AG26" s="840"/>
    </row>
    <row r="27" spans="2:33" s="635" customFormat="1" ht="39.75" customHeight="1">
      <c r="B27" s="738"/>
      <c r="C27" s="848"/>
      <c r="D27" s="849"/>
      <c r="E27" s="652"/>
      <c r="F27" s="653" t="s">
        <v>315</v>
      </c>
      <c r="G27" s="654"/>
      <c r="H27" s="654"/>
      <c r="I27" s="655"/>
      <c r="J27" s="653" t="s">
        <v>315</v>
      </c>
      <c r="K27" s="654"/>
      <c r="L27" s="656"/>
      <c r="M27" s="738"/>
      <c r="N27" s="848"/>
      <c r="O27" s="849"/>
      <c r="P27" s="655"/>
      <c r="Q27" s="657" t="s">
        <v>4</v>
      </c>
      <c r="R27" s="654"/>
      <c r="S27" s="654"/>
      <c r="T27" s="655"/>
      <c r="U27" s="657" t="s">
        <v>4</v>
      </c>
      <c r="V27" s="654"/>
      <c r="W27" s="656"/>
      <c r="X27" s="650"/>
      <c r="Y27" s="651"/>
      <c r="Z27" s="651"/>
      <c r="AA27" s="651"/>
      <c r="AB27" s="837" t="s">
        <v>571</v>
      </c>
      <c r="AC27" s="838"/>
      <c r="AD27" s="839"/>
      <c r="AE27" s="837" t="s">
        <v>571</v>
      </c>
      <c r="AF27" s="838"/>
      <c r="AG27" s="840"/>
    </row>
    <row r="28" spans="2:33" s="635" customFormat="1" ht="39.75" customHeight="1">
      <c r="B28" s="844"/>
      <c r="C28" s="845"/>
      <c r="D28" s="846"/>
      <c r="E28" s="658"/>
      <c r="F28" s="659" t="s">
        <v>692</v>
      </c>
      <c r="G28" s="660"/>
      <c r="H28" s="660"/>
      <c r="I28" s="655"/>
      <c r="J28" s="653" t="s">
        <v>315</v>
      </c>
      <c r="K28" s="660"/>
      <c r="L28" s="661"/>
      <c r="M28" s="844"/>
      <c r="N28" s="845"/>
      <c r="O28" s="846"/>
      <c r="P28" s="658"/>
      <c r="Q28" s="659" t="s">
        <v>4</v>
      </c>
      <c r="R28" s="660"/>
      <c r="S28" s="660"/>
      <c r="T28" s="658"/>
      <c r="U28" s="659" t="s">
        <v>4</v>
      </c>
      <c r="V28" s="660"/>
      <c r="W28" s="661"/>
      <c r="X28" s="650"/>
      <c r="Y28" s="651"/>
      <c r="Z28" s="651"/>
      <c r="AA28" s="651"/>
      <c r="AB28" s="837" t="s">
        <v>571</v>
      </c>
      <c r="AC28" s="838"/>
      <c r="AD28" s="839"/>
      <c r="AE28" s="837" t="s">
        <v>571</v>
      </c>
      <c r="AF28" s="838"/>
      <c r="AG28" s="840"/>
    </row>
    <row r="29" spans="2:33" s="635" customFormat="1" ht="39.75" customHeight="1" thickBot="1">
      <c r="B29" s="850"/>
      <c r="C29" s="851"/>
      <c r="D29" s="852"/>
      <c r="E29" s="662"/>
      <c r="F29" s="663" t="s">
        <v>693</v>
      </c>
      <c r="G29" s="664"/>
      <c r="H29" s="664"/>
      <c r="I29" s="662"/>
      <c r="J29" s="663" t="s">
        <v>692</v>
      </c>
      <c r="K29" s="664"/>
      <c r="L29" s="665"/>
      <c r="M29" s="850"/>
      <c r="N29" s="851"/>
      <c r="O29" s="852"/>
      <c r="P29" s="662"/>
      <c r="Q29" s="663" t="s">
        <v>4</v>
      </c>
      <c r="R29" s="664"/>
      <c r="S29" s="664"/>
      <c r="T29" s="662"/>
      <c r="U29" s="663" t="s">
        <v>4</v>
      </c>
      <c r="V29" s="664"/>
      <c r="W29" s="665"/>
      <c r="X29" s="666"/>
      <c r="Y29" s="667"/>
      <c r="Z29" s="667"/>
      <c r="AA29" s="667"/>
      <c r="AB29" s="853" t="s">
        <v>571</v>
      </c>
      <c r="AC29" s="854"/>
      <c r="AD29" s="855"/>
      <c r="AE29" s="853" t="s">
        <v>571</v>
      </c>
      <c r="AF29" s="854"/>
      <c r="AG29" s="856"/>
    </row>
  </sheetData>
  <sheetProtection/>
  <mergeCells count="105">
    <mergeCell ref="AB3:AG3"/>
    <mergeCell ref="B27:D27"/>
    <mergeCell ref="M27:O27"/>
    <mergeCell ref="AB27:AD27"/>
    <mergeCell ref="AE27:AG27"/>
    <mergeCell ref="B29:D29"/>
    <mergeCell ref="M29:O29"/>
    <mergeCell ref="AB29:AD29"/>
    <mergeCell ref="AE29:AG29"/>
    <mergeCell ref="B26:D26"/>
    <mergeCell ref="M26:O26"/>
    <mergeCell ref="AB26:AD26"/>
    <mergeCell ref="AE26:AG26"/>
    <mergeCell ref="B28:D28"/>
    <mergeCell ref="M28:O28"/>
    <mergeCell ref="AB28:AD28"/>
    <mergeCell ref="AE28:AG28"/>
    <mergeCell ref="V24:W25"/>
    <mergeCell ref="X24:AA24"/>
    <mergeCell ref="AB24:AD24"/>
    <mergeCell ref="AE24:AG24"/>
    <mergeCell ref="AB25:AD25"/>
    <mergeCell ref="AE25:AG25"/>
    <mergeCell ref="G24:H25"/>
    <mergeCell ref="I24:J25"/>
    <mergeCell ref="K24:L25"/>
    <mergeCell ref="P24:Q25"/>
    <mergeCell ref="R24:S25"/>
    <mergeCell ref="T24:U25"/>
    <mergeCell ref="B21:AG21"/>
    <mergeCell ref="B22:W22"/>
    <mergeCell ref="X22:AG23"/>
    <mergeCell ref="B23:D25"/>
    <mergeCell ref="E23:H23"/>
    <mergeCell ref="I23:L23"/>
    <mergeCell ref="M23:O25"/>
    <mergeCell ref="P23:S23"/>
    <mergeCell ref="T23:W23"/>
    <mergeCell ref="E24:F25"/>
    <mergeCell ref="C20:G20"/>
    <mergeCell ref="Q20:U20"/>
    <mergeCell ref="H20:I20"/>
    <mergeCell ref="J20:K20"/>
    <mergeCell ref="L20:M20"/>
    <mergeCell ref="N20:O20"/>
    <mergeCell ref="B19:G19"/>
    <mergeCell ref="P19:U19"/>
    <mergeCell ref="H19:I19"/>
    <mergeCell ref="J19:K19"/>
    <mergeCell ref="L19:M19"/>
    <mergeCell ref="N19:O19"/>
    <mergeCell ref="B16:Q16"/>
    <mergeCell ref="R16:AG16"/>
    <mergeCell ref="B17:AG17"/>
    <mergeCell ref="H18:K18"/>
    <mergeCell ref="L18:O18"/>
    <mergeCell ref="P18:U18"/>
    <mergeCell ref="V18:Y18"/>
    <mergeCell ref="Z18:AC18"/>
    <mergeCell ref="AD18:AE20"/>
    <mergeCell ref="AF18:AG20"/>
    <mergeCell ref="B14:N14"/>
    <mergeCell ref="O14:Q15"/>
    <mergeCell ref="R14:AD14"/>
    <mergeCell ref="AE14:AG15"/>
    <mergeCell ref="B15:N15"/>
    <mergeCell ref="R15:AD15"/>
    <mergeCell ref="B9:AG9"/>
    <mergeCell ref="B10:AG10"/>
    <mergeCell ref="B11:AG11"/>
    <mergeCell ref="B12:AG12"/>
    <mergeCell ref="B13:Q13"/>
    <mergeCell ref="R13:AG13"/>
    <mergeCell ref="C7:H7"/>
    <mergeCell ref="L7:O7"/>
    <mergeCell ref="P7:W7"/>
    <mergeCell ref="X7:Z7"/>
    <mergeCell ref="AA7:AG7"/>
    <mergeCell ref="C8:G8"/>
    <mergeCell ref="X5:Z5"/>
    <mergeCell ref="AA5:AG5"/>
    <mergeCell ref="C6:H6"/>
    <mergeCell ref="L6:O6"/>
    <mergeCell ref="P6:U6"/>
    <mergeCell ref="V6:W6"/>
    <mergeCell ref="X6:Z6"/>
    <mergeCell ref="AA6:AG6"/>
    <mergeCell ref="B2:AG2"/>
    <mergeCell ref="C4:H4"/>
    <mergeCell ref="K4:K7"/>
    <mergeCell ref="L4:O4"/>
    <mergeCell ref="P4:Z4"/>
    <mergeCell ref="AA4:AB4"/>
    <mergeCell ref="AC4:AG4"/>
    <mergeCell ref="C5:H5"/>
    <mergeCell ref="L5:O5"/>
    <mergeCell ref="P5:W5"/>
    <mergeCell ref="AB19:AC19"/>
    <mergeCell ref="AB20:AC20"/>
    <mergeCell ref="V19:W19"/>
    <mergeCell ref="V20:W20"/>
    <mergeCell ref="X19:Y19"/>
    <mergeCell ref="X20:Y20"/>
    <mergeCell ref="Z19:AA19"/>
    <mergeCell ref="Z20:AA20"/>
  </mergeCells>
  <printOptions/>
  <pageMargins left="0.7" right="0.7" top="0.75" bottom="0.75" header="0.3" footer="0.3"/>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B1:BQ35"/>
  <sheetViews>
    <sheetView zoomScale="55" zoomScaleNormal="55" zoomScalePageLayoutView="0" workbookViewId="0" topLeftCell="A1">
      <selection activeCell="B13" sqref="B13:I13"/>
    </sheetView>
  </sheetViews>
  <sheetFormatPr defaultColWidth="9.00390625" defaultRowHeight="13.5"/>
  <cols>
    <col min="1" max="1" width="1.12109375" style="668" customWidth="1"/>
    <col min="2" max="16384" width="8.875" style="668" customWidth="1"/>
  </cols>
  <sheetData>
    <row r="1" spans="2:69" s="635" customFormat="1" ht="9" customHeight="1" thickBot="1">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9"/>
      <c r="AC1" s="669"/>
      <c r="AD1" s="669"/>
      <c r="AE1" s="669"/>
      <c r="AF1" s="669"/>
      <c r="AG1" s="669"/>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857"/>
      <c r="BM1" s="857"/>
      <c r="BN1" s="857"/>
      <c r="BO1" s="857"/>
      <c r="BP1" s="857"/>
      <c r="BQ1" s="857"/>
    </row>
    <row r="2" spans="2:69" s="635" customFormat="1" ht="30" customHeight="1" thickBot="1">
      <c r="B2" s="858" t="s">
        <v>694</v>
      </c>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60"/>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857"/>
      <c r="BM2" s="857"/>
      <c r="BN2" s="857"/>
      <c r="BO2" s="857"/>
      <c r="BP2" s="857"/>
      <c r="BQ2" s="857"/>
    </row>
    <row r="3" spans="2:33" s="635" customFormat="1" ht="30" customHeight="1">
      <c r="B3" s="753" t="s">
        <v>695</v>
      </c>
      <c r="C3" s="754"/>
      <c r="D3" s="754"/>
      <c r="E3" s="754"/>
      <c r="F3" s="754"/>
      <c r="G3" s="754"/>
      <c r="H3" s="754"/>
      <c r="I3" s="754"/>
      <c r="J3" s="754"/>
      <c r="K3" s="754"/>
      <c r="L3" s="754"/>
      <c r="M3" s="754"/>
      <c r="N3" s="754"/>
      <c r="O3" s="754"/>
      <c r="P3" s="754"/>
      <c r="Q3" s="755"/>
      <c r="R3" s="753" t="s">
        <v>696</v>
      </c>
      <c r="S3" s="754"/>
      <c r="T3" s="754"/>
      <c r="U3" s="754"/>
      <c r="V3" s="754"/>
      <c r="W3" s="754"/>
      <c r="X3" s="754"/>
      <c r="Y3" s="754"/>
      <c r="Z3" s="754"/>
      <c r="AA3" s="754"/>
      <c r="AB3" s="754"/>
      <c r="AC3" s="754"/>
      <c r="AD3" s="754"/>
      <c r="AE3" s="754"/>
      <c r="AF3" s="754"/>
      <c r="AG3" s="755"/>
    </row>
    <row r="4" spans="2:33" s="635" customFormat="1" ht="30" customHeight="1">
      <c r="B4" s="814" t="s">
        <v>697</v>
      </c>
      <c r="C4" s="763"/>
      <c r="D4" s="827"/>
      <c r="E4" s="826" t="s">
        <v>698</v>
      </c>
      <c r="F4" s="763"/>
      <c r="G4" s="763"/>
      <c r="H4" s="827"/>
      <c r="I4" s="862" t="s">
        <v>699</v>
      </c>
      <c r="J4" s="826" t="s">
        <v>700</v>
      </c>
      <c r="K4" s="763"/>
      <c r="L4" s="763"/>
      <c r="M4" s="827"/>
      <c r="N4" s="826" t="s">
        <v>701</v>
      </c>
      <c r="O4" s="763"/>
      <c r="P4" s="763"/>
      <c r="Q4" s="764"/>
      <c r="R4" s="814" t="s">
        <v>702</v>
      </c>
      <c r="S4" s="763"/>
      <c r="T4" s="763"/>
      <c r="U4" s="815"/>
      <c r="V4" s="819" t="s">
        <v>698</v>
      </c>
      <c r="W4" s="763"/>
      <c r="X4" s="763"/>
      <c r="Y4" s="827"/>
      <c r="Z4" s="733" t="s">
        <v>703</v>
      </c>
      <c r="AA4" s="731"/>
      <c r="AB4" s="731"/>
      <c r="AC4" s="731"/>
      <c r="AD4" s="731"/>
      <c r="AE4" s="731"/>
      <c r="AF4" s="731"/>
      <c r="AG4" s="869"/>
    </row>
    <row r="5" spans="2:33" s="635" customFormat="1" ht="30" customHeight="1">
      <c r="B5" s="816"/>
      <c r="C5" s="765"/>
      <c r="D5" s="861"/>
      <c r="E5" s="734" t="s">
        <v>704</v>
      </c>
      <c r="F5" s="734"/>
      <c r="G5" s="734" t="s">
        <v>705</v>
      </c>
      <c r="H5" s="734"/>
      <c r="I5" s="863"/>
      <c r="J5" s="865"/>
      <c r="K5" s="765"/>
      <c r="L5" s="765"/>
      <c r="M5" s="861"/>
      <c r="N5" s="865"/>
      <c r="O5" s="765"/>
      <c r="P5" s="765"/>
      <c r="Q5" s="766"/>
      <c r="R5" s="816"/>
      <c r="S5" s="765"/>
      <c r="T5" s="765"/>
      <c r="U5" s="765"/>
      <c r="V5" s="734" t="s">
        <v>704</v>
      </c>
      <c r="W5" s="734"/>
      <c r="X5" s="734" t="s">
        <v>705</v>
      </c>
      <c r="Y5" s="734"/>
      <c r="Z5" s="733" t="s">
        <v>706</v>
      </c>
      <c r="AA5" s="731"/>
      <c r="AB5" s="731"/>
      <c r="AC5" s="731"/>
      <c r="AD5" s="733" t="s">
        <v>707</v>
      </c>
      <c r="AE5" s="731"/>
      <c r="AF5" s="731"/>
      <c r="AG5" s="869"/>
    </row>
    <row r="6" spans="2:33" s="635" customFormat="1" ht="30" customHeight="1">
      <c r="B6" s="811"/>
      <c r="C6" s="812"/>
      <c r="D6" s="829"/>
      <c r="E6" s="734"/>
      <c r="F6" s="734"/>
      <c r="G6" s="734"/>
      <c r="H6" s="734"/>
      <c r="I6" s="864"/>
      <c r="J6" s="866"/>
      <c r="K6" s="818"/>
      <c r="L6" s="818"/>
      <c r="M6" s="867"/>
      <c r="N6" s="866"/>
      <c r="O6" s="818"/>
      <c r="P6" s="818"/>
      <c r="Q6" s="868"/>
      <c r="R6" s="811"/>
      <c r="S6" s="812"/>
      <c r="T6" s="812"/>
      <c r="U6" s="812"/>
      <c r="V6" s="734"/>
      <c r="W6" s="734"/>
      <c r="X6" s="734"/>
      <c r="Y6" s="734"/>
      <c r="Z6" s="870" t="s">
        <v>708</v>
      </c>
      <c r="AA6" s="871"/>
      <c r="AB6" s="872" t="s">
        <v>709</v>
      </c>
      <c r="AC6" s="873"/>
      <c r="AD6" s="870" t="s">
        <v>708</v>
      </c>
      <c r="AE6" s="871"/>
      <c r="AF6" s="872" t="s">
        <v>709</v>
      </c>
      <c r="AG6" s="874"/>
    </row>
    <row r="7" spans="2:33" s="635" customFormat="1" ht="30" customHeight="1">
      <c r="B7" s="814" t="s">
        <v>710</v>
      </c>
      <c r="C7" s="763"/>
      <c r="D7" s="815"/>
      <c r="E7" s="875"/>
      <c r="F7" s="846"/>
      <c r="G7" s="875"/>
      <c r="H7" s="876"/>
      <c r="I7" s="670"/>
      <c r="J7" s="877"/>
      <c r="K7" s="878"/>
      <c r="L7" s="878"/>
      <c r="M7" s="671" t="s">
        <v>711</v>
      </c>
      <c r="N7" s="877"/>
      <c r="O7" s="878"/>
      <c r="P7" s="878"/>
      <c r="Q7" s="672" t="s">
        <v>692</v>
      </c>
      <c r="R7" s="738"/>
      <c r="S7" s="848"/>
      <c r="T7" s="848"/>
      <c r="U7" s="879"/>
      <c r="V7" s="781"/>
      <c r="W7" s="879"/>
      <c r="X7" s="781"/>
      <c r="Y7" s="879"/>
      <c r="Z7" s="673"/>
      <c r="AA7" s="674"/>
      <c r="AB7" s="675"/>
      <c r="AC7" s="671"/>
      <c r="AD7" s="673"/>
      <c r="AE7" s="674"/>
      <c r="AF7" s="675"/>
      <c r="AG7" s="672"/>
    </row>
    <row r="8" spans="2:33" s="635" customFormat="1" ht="30" customHeight="1">
      <c r="B8" s="816"/>
      <c r="C8" s="765"/>
      <c r="D8" s="823"/>
      <c r="E8" s="880"/>
      <c r="F8" s="881"/>
      <c r="G8" s="880"/>
      <c r="H8" s="882"/>
      <c r="I8" s="670"/>
      <c r="J8" s="877"/>
      <c r="K8" s="878"/>
      <c r="L8" s="878"/>
      <c r="M8" s="671" t="s">
        <v>711</v>
      </c>
      <c r="N8" s="877"/>
      <c r="O8" s="878"/>
      <c r="P8" s="878"/>
      <c r="Q8" s="672" t="s">
        <v>711</v>
      </c>
      <c r="R8" s="738"/>
      <c r="S8" s="848"/>
      <c r="T8" s="848"/>
      <c r="U8" s="879"/>
      <c r="V8" s="781"/>
      <c r="W8" s="879"/>
      <c r="X8" s="781"/>
      <c r="Y8" s="879"/>
      <c r="Z8" s="673"/>
      <c r="AA8" s="674"/>
      <c r="AB8" s="675"/>
      <c r="AC8" s="671"/>
      <c r="AD8" s="673"/>
      <c r="AE8" s="674"/>
      <c r="AF8" s="675"/>
      <c r="AG8" s="672"/>
    </row>
    <row r="9" spans="2:33" s="635" customFormat="1" ht="30" customHeight="1">
      <c r="B9" s="883" t="s">
        <v>712</v>
      </c>
      <c r="C9" s="831"/>
      <c r="D9" s="884"/>
      <c r="E9" s="880"/>
      <c r="F9" s="881"/>
      <c r="G9" s="886"/>
      <c r="H9" s="887"/>
      <c r="I9" s="670"/>
      <c r="J9" s="877"/>
      <c r="K9" s="878"/>
      <c r="L9" s="878"/>
      <c r="M9" s="671" t="s">
        <v>711</v>
      </c>
      <c r="N9" s="877"/>
      <c r="O9" s="878"/>
      <c r="P9" s="878"/>
      <c r="Q9" s="672" t="s">
        <v>711</v>
      </c>
      <c r="R9" s="738"/>
      <c r="S9" s="848"/>
      <c r="T9" s="848"/>
      <c r="U9" s="879"/>
      <c r="V9" s="781"/>
      <c r="W9" s="879"/>
      <c r="X9" s="781"/>
      <c r="Y9" s="879"/>
      <c r="Z9" s="673"/>
      <c r="AA9" s="674"/>
      <c r="AB9" s="675"/>
      <c r="AC9" s="671"/>
      <c r="AD9" s="673"/>
      <c r="AE9" s="674"/>
      <c r="AF9" s="675"/>
      <c r="AG9" s="672"/>
    </row>
    <row r="10" spans="2:33" s="635" customFormat="1" ht="30" customHeight="1">
      <c r="B10" s="811"/>
      <c r="C10" s="812"/>
      <c r="D10" s="885"/>
      <c r="E10" s="880"/>
      <c r="F10" s="878"/>
      <c r="G10" s="780"/>
      <c r="H10" s="780"/>
      <c r="I10" s="676"/>
      <c r="J10" s="877"/>
      <c r="K10" s="878"/>
      <c r="L10" s="878"/>
      <c r="M10" s="671" t="s">
        <v>713</v>
      </c>
      <c r="N10" s="877"/>
      <c r="O10" s="878"/>
      <c r="P10" s="878"/>
      <c r="Q10" s="672" t="s">
        <v>714</v>
      </c>
      <c r="R10" s="738"/>
      <c r="S10" s="848"/>
      <c r="T10" s="848"/>
      <c r="U10" s="879"/>
      <c r="V10" s="781"/>
      <c r="W10" s="879"/>
      <c r="X10" s="781"/>
      <c r="Y10" s="879"/>
      <c r="Z10" s="673"/>
      <c r="AA10" s="674"/>
      <c r="AB10" s="675"/>
      <c r="AC10" s="671"/>
      <c r="AD10" s="673"/>
      <c r="AE10" s="674"/>
      <c r="AF10" s="675"/>
      <c r="AG10" s="672"/>
    </row>
    <row r="11" spans="2:33" s="635" customFormat="1" ht="30" customHeight="1">
      <c r="B11" s="814" t="s">
        <v>715</v>
      </c>
      <c r="C11" s="763"/>
      <c r="D11" s="763"/>
      <c r="E11" s="880"/>
      <c r="F11" s="878"/>
      <c r="G11" s="780"/>
      <c r="H11" s="780"/>
      <c r="I11" s="677"/>
      <c r="J11" s="888"/>
      <c r="K11" s="842"/>
      <c r="L11" s="842"/>
      <c r="M11" s="678" t="s">
        <v>716</v>
      </c>
      <c r="N11" s="888"/>
      <c r="O11" s="842"/>
      <c r="P11" s="842"/>
      <c r="Q11" s="679" t="s">
        <v>717</v>
      </c>
      <c r="R11" s="738"/>
      <c r="S11" s="848"/>
      <c r="T11" s="848"/>
      <c r="U11" s="879"/>
      <c r="V11" s="781"/>
      <c r="W11" s="879"/>
      <c r="X11" s="781"/>
      <c r="Y11" s="879"/>
      <c r="Z11" s="673"/>
      <c r="AA11" s="674"/>
      <c r="AB11" s="675"/>
      <c r="AC11" s="671"/>
      <c r="AD11" s="673"/>
      <c r="AE11" s="674"/>
      <c r="AF11" s="675"/>
      <c r="AG11" s="672"/>
    </row>
    <row r="12" spans="2:33" s="635" customFormat="1" ht="30" customHeight="1">
      <c r="B12" s="816"/>
      <c r="C12" s="765"/>
      <c r="D12" s="765"/>
      <c r="E12" s="889"/>
      <c r="F12" s="842"/>
      <c r="G12" s="780"/>
      <c r="H12" s="780"/>
      <c r="I12" s="676"/>
      <c r="J12" s="781"/>
      <c r="K12" s="848"/>
      <c r="L12" s="848"/>
      <c r="M12" s="653" t="s">
        <v>716</v>
      </c>
      <c r="N12" s="781"/>
      <c r="O12" s="848"/>
      <c r="P12" s="848"/>
      <c r="Q12" s="680" t="s">
        <v>711</v>
      </c>
      <c r="R12" s="844"/>
      <c r="S12" s="845"/>
      <c r="T12" s="845"/>
      <c r="U12" s="876"/>
      <c r="V12" s="890"/>
      <c r="W12" s="876"/>
      <c r="X12" s="890"/>
      <c r="Y12" s="876"/>
      <c r="Z12" s="673"/>
      <c r="AA12" s="674"/>
      <c r="AB12" s="675"/>
      <c r="AC12" s="671"/>
      <c r="AD12" s="673"/>
      <c r="AE12" s="674"/>
      <c r="AF12" s="675"/>
      <c r="AG12" s="672"/>
    </row>
    <row r="13" spans="2:33" s="635" customFormat="1" ht="30" customHeight="1" thickBot="1">
      <c r="B13" s="891" t="s">
        <v>718</v>
      </c>
      <c r="C13" s="892"/>
      <c r="D13" s="892"/>
      <c r="E13" s="892"/>
      <c r="F13" s="892"/>
      <c r="G13" s="892"/>
      <c r="H13" s="892"/>
      <c r="I13" s="893"/>
      <c r="J13" s="894"/>
      <c r="K13" s="892"/>
      <c r="L13" s="892"/>
      <c r="M13" s="681" t="s">
        <v>714</v>
      </c>
      <c r="N13" s="894"/>
      <c r="O13" s="892"/>
      <c r="P13" s="892"/>
      <c r="Q13" s="682" t="s">
        <v>716</v>
      </c>
      <c r="R13" s="850" t="s">
        <v>719</v>
      </c>
      <c r="S13" s="851"/>
      <c r="T13" s="851"/>
      <c r="U13" s="851"/>
      <c r="V13" s="851"/>
      <c r="W13" s="851"/>
      <c r="X13" s="851"/>
      <c r="Y13" s="895"/>
      <c r="Z13" s="683"/>
      <c r="AA13" s="684"/>
      <c r="AB13" s="685"/>
      <c r="AC13" s="686"/>
      <c r="AD13" s="683"/>
      <c r="AE13" s="684"/>
      <c r="AF13" s="685"/>
      <c r="AG13" s="687"/>
    </row>
    <row r="14" spans="2:33" s="635" customFormat="1" ht="30" customHeight="1">
      <c r="B14" s="753" t="s">
        <v>720</v>
      </c>
      <c r="C14" s="754"/>
      <c r="D14" s="754"/>
      <c r="E14" s="754"/>
      <c r="F14" s="754"/>
      <c r="G14" s="754"/>
      <c r="H14" s="754"/>
      <c r="I14" s="754"/>
      <c r="J14" s="754"/>
      <c r="K14" s="754"/>
      <c r="L14" s="754"/>
      <c r="M14" s="754"/>
      <c r="N14" s="754"/>
      <c r="O14" s="754"/>
      <c r="P14" s="754"/>
      <c r="Q14" s="755"/>
      <c r="R14" s="805" t="s">
        <v>721</v>
      </c>
      <c r="S14" s="806"/>
      <c r="T14" s="806"/>
      <c r="U14" s="806"/>
      <c r="V14" s="806"/>
      <c r="W14" s="806"/>
      <c r="X14" s="806"/>
      <c r="Y14" s="806"/>
      <c r="Z14" s="806"/>
      <c r="AA14" s="806"/>
      <c r="AB14" s="806"/>
      <c r="AC14" s="806"/>
      <c r="AD14" s="806"/>
      <c r="AE14" s="806"/>
      <c r="AF14" s="806"/>
      <c r="AG14" s="807"/>
    </row>
    <row r="15" spans="2:33" s="635" customFormat="1" ht="30" customHeight="1">
      <c r="B15" s="896"/>
      <c r="C15" s="897"/>
      <c r="D15" s="897"/>
      <c r="E15" s="897"/>
      <c r="F15" s="897"/>
      <c r="G15" s="897"/>
      <c r="H15" s="897"/>
      <c r="I15" s="897"/>
      <c r="J15" s="897"/>
      <c r="K15" s="897"/>
      <c r="L15" s="897"/>
      <c r="M15" s="897"/>
      <c r="N15" s="897"/>
      <c r="O15" s="897"/>
      <c r="P15" s="897"/>
      <c r="Q15" s="786"/>
      <c r="R15" s="896"/>
      <c r="S15" s="897"/>
      <c r="T15" s="897"/>
      <c r="U15" s="897"/>
      <c r="V15" s="897"/>
      <c r="W15" s="897"/>
      <c r="X15" s="897"/>
      <c r="Y15" s="897"/>
      <c r="Z15" s="897"/>
      <c r="AA15" s="897"/>
      <c r="AB15" s="897"/>
      <c r="AC15" s="897"/>
      <c r="AD15" s="897"/>
      <c r="AE15" s="897"/>
      <c r="AF15" s="897"/>
      <c r="AG15" s="786"/>
    </row>
    <row r="16" spans="2:33" s="635" customFormat="1" ht="30" customHeight="1">
      <c r="B16" s="896"/>
      <c r="C16" s="897"/>
      <c r="D16" s="897"/>
      <c r="E16" s="897"/>
      <c r="F16" s="897"/>
      <c r="G16" s="897"/>
      <c r="H16" s="897"/>
      <c r="I16" s="897"/>
      <c r="J16" s="897"/>
      <c r="K16" s="897"/>
      <c r="L16" s="897"/>
      <c r="M16" s="897"/>
      <c r="N16" s="897"/>
      <c r="O16" s="897"/>
      <c r="P16" s="897"/>
      <c r="Q16" s="786"/>
      <c r="R16" s="896"/>
      <c r="S16" s="897"/>
      <c r="T16" s="897"/>
      <c r="U16" s="897"/>
      <c r="V16" s="897"/>
      <c r="W16" s="897"/>
      <c r="X16" s="897"/>
      <c r="Y16" s="897"/>
      <c r="Z16" s="897"/>
      <c r="AA16" s="897"/>
      <c r="AB16" s="897"/>
      <c r="AC16" s="897"/>
      <c r="AD16" s="897"/>
      <c r="AE16" s="897"/>
      <c r="AF16" s="897"/>
      <c r="AG16" s="786"/>
    </row>
    <row r="17" spans="2:33" s="635" customFormat="1" ht="30" customHeight="1">
      <c r="B17" s="896"/>
      <c r="C17" s="897"/>
      <c r="D17" s="897"/>
      <c r="E17" s="897"/>
      <c r="F17" s="897"/>
      <c r="G17" s="897"/>
      <c r="H17" s="897"/>
      <c r="I17" s="897"/>
      <c r="J17" s="897"/>
      <c r="K17" s="897"/>
      <c r="L17" s="897"/>
      <c r="M17" s="897"/>
      <c r="N17" s="897"/>
      <c r="O17" s="897"/>
      <c r="P17" s="897"/>
      <c r="Q17" s="786"/>
      <c r="R17" s="896"/>
      <c r="S17" s="897"/>
      <c r="T17" s="897"/>
      <c r="U17" s="897"/>
      <c r="V17" s="897"/>
      <c r="W17" s="897"/>
      <c r="X17" s="897"/>
      <c r="Y17" s="897"/>
      <c r="Z17" s="897"/>
      <c r="AA17" s="897"/>
      <c r="AB17" s="897"/>
      <c r="AC17" s="897"/>
      <c r="AD17" s="897"/>
      <c r="AE17" s="897"/>
      <c r="AF17" s="897"/>
      <c r="AG17" s="786"/>
    </row>
    <row r="18" spans="2:33" s="635" customFormat="1" ht="30" customHeight="1" thickBot="1">
      <c r="B18" s="898"/>
      <c r="C18" s="899"/>
      <c r="D18" s="899"/>
      <c r="E18" s="899"/>
      <c r="F18" s="899"/>
      <c r="G18" s="899"/>
      <c r="H18" s="899"/>
      <c r="I18" s="899"/>
      <c r="J18" s="899"/>
      <c r="K18" s="899"/>
      <c r="L18" s="899"/>
      <c r="M18" s="899"/>
      <c r="N18" s="899"/>
      <c r="O18" s="899"/>
      <c r="P18" s="899"/>
      <c r="Q18" s="788"/>
      <c r="R18" s="898"/>
      <c r="S18" s="899"/>
      <c r="T18" s="899"/>
      <c r="U18" s="899"/>
      <c r="V18" s="899"/>
      <c r="W18" s="899"/>
      <c r="X18" s="899"/>
      <c r="Y18" s="899"/>
      <c r="Z18" s="899"/>
      <c r="AA18" s="899"/>
      <c r="AB18" s="899"/>
      <c r="AC18" s="899"/>
      <c r="AD18" s="899"/>
      <c r="AE18" s="899"/>
      <c r="AF18" s="899"/>
      <c r="AG18" s="788"/>
    </row>
    <row r="19" spans="2:33" s="635" customFormat="1" ht="30" customHeight="1">
      <c r="B19" s="805" t="s">
        <v>722</v>
      </c>
      <c r="C19" s="806"/>
      <c r="D19" s="806"/>
      <c r="E19" s="806"/>
      <c r="F19" s="806"/>
      <c r="G19" s="806"/>
      <c r="H19" s="806"/>
      <c r="I19" s="806"/>
      <c r="J19" s="806"/>
      <c r="K19" s="806"/>
      <c r="L19" s="806"/>
      <c r="M19" s="806"/>
      <c r="N19" s="806"/>
      <c r="O19" s="806"/>
      <c r="P19" s="806"/>
      <c r="Q19" s="807"/>
      <c r="R19" s="805" t="s">
        <v>723</v>
      </c>
      <c r="S19" s="806"/>
      <c r="T19" s="806"/>
      <c r="U19" s="806"/>
      <c r="V19" s="806"/>
      <c r="W19" s="806"/>
      <c r="X19" s="806"/>
      <c r="Y19" s="806"/>
      <c r="Z19" s="806"/>
      <c r="AA19" s="806"/>
      <c r="AB19" s="806"/>
      <c r="AC19" s="806"/>
      <c r="AD19" s="806"/>
      <c r="AE19" s="806"/>
      <c r="AF19" s="806"/>
      <c r="AG19" s="807"/>
    </row>
    <row r="20" spans="2:33" s="635" customFormat="1" ht="30" customHeight="1">
      <c r="B20" s="900"/>
      <c r="C20" s="777"/>
      <c r="D20" s="777"/>
      <c r="E20" s="777"/>
      <c r="F20" s="777"/>
      <c r="G20" s="777"/>
      <c r="H20" s="777"/>
      <c r="I20" s="777"/>
      <c r="J20" s="777"/>
      <c r="K20" s="777"/>
      <c r="L20" s="777"/>
      <c r="M20" s="777"/>
      <c r="N20" s="777"/>
      <c r="O20" s="777"/>
      <c r="P20" s="777"/>
      <c r="Q20" s="784"/>
      <c r="R20" s="900"/>
      <c r="S20" s="777"/>
      <c r="T20" s="777"/>
      <c r="U20" s="777"/>
      <c r="V20" s="777"/>
      <c r="W20" s="777"/>
      <c r="X20" s="777"/>
      <c r="Y20" s="777"/>
      <c r="Z20" s="777"/>
      <c r="AA20" s="777"/>
      <c r="AB20" s="777"/>
      <c r="AC20" s="777"/>
      <c r="AD20" s="777"/>
      <c r="AE20" s="777"/>
      <c r="AF20" s="777"/>
      <c r="AG20" s="784"/>
    </row>
    <row r="21" spans="2:33" s="635" customFormat="1" ht="30" customHeight="1">
      <c r="B21" s="896"/>
      <c r="C21" s="897"/>
      <c r="D21" s="897"/>
      <c r="E21" s="897"/>
      <c r="F21" s="897"/>
      <c r="G21" s="897"/>
      <c r="H21" s="897"/>
      <c r="I21" s="897"/>
      <c r="J21" s="897"/>
      <c r="K21" s="897"/>
      <c r="L21" s="897"/>
      <c r="M21" s="897"/>
      <c r="N21" s="897"/>
      <c r="O21" s="897"/>
      <c r="P21" s="897"/>
      <c r="Q21" s="786"/>
      <c r="R21" s="896"/>
      <c r="S21" s="897"/>
      <c r="T21" s="897"/>
      <c r="U21" s="897"/>
      <c r="V21" s="897"/>
      <c r="W21" s="897"/>
      <c r="X21" s="897"/>
      <c r="Y21" s="897"/>
      <c r="Z21" s="897"/>
      <c r="AA21" s="897"/>
      <c r="AB21" s="897"/>
      <c r="AC21" s="897"/>
      <c r="AD21" s="897"/>
      <c r="AE21" s="897"/>
      <c r="AF21" s="897"/>
      <c r="AG21" s="786"/>
    </row>
    <row r="22" spans="2:33" s="635" customFormat="1" ht="30" customHeight="1">
      <c r="B22" s="896"/>
      <c r="C22" s="897"/>
      <c r="D22" s="897"/>
      <c r="E22" s="897"/>
      <c r="F22" s="897"/>
      <c r="G22" s="897"/>
      <c r="H22" s="897"/>
      <c r="I22" s="897"/>
      <c r="J22" s="897"/>
      <c r="K22" s="897"/>
      <c r="L22" s="897"/>
      <c r="M22" s="897"/>
      <c r="N22" s="897"/>
      <c r="O22" s="897"/>
      <c r="P22" s="897"/>
      <c r="Q22" s="786"/>
      <c r="R22" s="896"/>
      <c r="S22" s="897"/>
      <c r="T22" s="897"/>
      <c r="U22" s="897"/>
      <c r="V22" s="897"/>
      <c r="W22" s="897"/>
      <c r="X22" s="897"/>
      <c r="Y22" s="897"/>
      <c r="Z22" s="897"/>
      <c r="AA22" s="897"/>
      <c r="AB22" s="897"/>
      <c r="AC22" s="897"/>
      <c r="AD22" s="897"/>
      <c r="AE22" s="897"/>
      <c r="AF22" s="897"/>
      <c r="AG22" s="786"/>
    </row>
    <row r="23" spans="2:33" s="635" customFormat="1" ht="30" customHeight="1" thickBot="1">
      <c r="B23" s="898"/>
      <c r="C23" s="899"/>
      <c r="D23" s="899"/>
      <c r="E23" s="899"/>
      <c r="F23" s="899"/>
      <c r="G23" s="899"/>
      <c r="H23" s="899"/>
      <c r="I23" s="899"/>
      <c r="J23" s="899"/>
      <c r="K23" s="899"/>
      <c r="L23" s="899"/>
      <c r="M23" s="899"/>
      <c r="N23" s="899"/>
      <c r="O23" s="899"/>
      <c r="P23" s="899"/>
      <c r="Q23" s="788"/>
      <c r="R23" s="898"/>
      <c r="S23" s="899"/>
      <c r="T23" s="899"/>
      <c r="U23" s="899"/>
      <c r="V23" s="899"/>
      <c r="W23" s="899"/>
      <c r="X23" s="899"/>
      <c r="Y23" s="899"/>
      <c r="Z23" s="899"/>
      <c r="AA23" s="899"/>
      <c r="AB23" s="899"/>
      <c r="AC23" s="899"/>
      <c r="AD23" s="899"/>
      <c r="AE23" s="899"/>
      <c r="AF23" s="899"/>
      <c r="AG23" s="788"/>
    </row>
    <row r="24" spans="2:33" s="635" customFormat="1" ht="30" customHeight="1">
      <c r="B24" s="688"/>
      <c r="C24" s="688"/>
      <c r="D24" s="688"/>
      <c r="E24" s="688"/>
      <c r="F24" s="688"/>
      <c r="G24" s="688"/>
      <c r="H24" s="688"/>
      <c r="I24" s="688"/>
      <c r="J24" s="688"/>
      <c r="K24" s="688"/>
      <c r="L24" s="688"/>
      <c r="M24" s="688"/>
      <c r="N24" s="688"/>
      <c r="O24" s="688"/>
      <c r="P24" s="688"/>
      <c r="Q24" s="688"/>
      <c r="R24" s="689"/>
      <c r="S24" s="689"/>
      <c r="T24" s="689"/>
      <c r="U24" s="689"/>
      <c r="V24" s="689"/>
      <c r="W24" s="689"/>
      <c r="X24" s="689"/>
      <c r="Y24" s="689"/>
      <c r="Z24" s="689"/>
      <c r="AA24" s="689"/>
      <c r="AB24" s="689"/>
      <c r="AC24" s="689"/>
      <c r="AD24" s="689"/>
      <c r="AE24" s="689"/>
      <c r="AF24" s="689"/>
      <c r="AG24" s="689"/>
    </row>
    <row r="25" spans="2:33" s="635" customFormat="1" ht="30" customHeight="1">
      <c r="B25" s="768" t="s">
        <v>724</v>
      </c>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row>
    <row r="26" spans="2:33" s="635" customFormat="1" ht="30" customHeight="1">
      <c r="B26" s="901" t="s">
        <v>725</v>
      </c>
      <c r="C26" s="902"/>
      <c r="D26" s="902"/>
      <c r="E26" s="902"/>
      <c r="F26" s="902"/>
      <c r="G26" s="902"/>
      <c r="H26" s="902"/>
      <c r="I26" s="902"/>
      <c r="J26" s="902"/>
      <c r="K26" s="902"/>
      <c r="L26" s="902"/>
      <c r="M26" s="902"/>
      <c r="N26" s="902"/>
      <c r="O26" s="902"/>
      <c r="P26" s="902"/>
      <c r="Q26" s="902"/>
      <c r="R26" s="902"/>
      <c r="S26" s="903"/>
      <c r="T26" s="904" t="s">
        <v>726</v>
      </c>
      <c r="U26" s="905"/>
      <c r="V26" s="905"/>
      <c r="W26" s="905"/>
      <c r="X26" s="905"/>
      <c r="Y26" s="905"/>
      <c r="Z26" s="905"/>
      <c r="AA26" s="905"/>
      <c r="AB26" s="905"/>
      <c r="AC26" s="905"/>
      <c r="AD26" s="905"/>
      <c r="AE26" s="905"/>
      <c r="AF26" s="905"/>
      <c r="AG26" s="906"/>
    </row>
    <row r="27" spans="2:33" s="635" customFormat="1" ht="30" customHeight="1">
      <c r="B27" s="907" t="s">
        <v>727</v>
      </c>
      <c r="C27" s="908"/>
      <c r="D27" s="908"/>
      <c r="E27" s="909"/>
      <c r="F27" s="819" t="s">
        <v>728</v>
      </c>
      <c r="G27" s="819" t="s">
        <v>729</v>
      </c>
      <c r="H27" s="917" t="s">
        <v>730</v>
      </c>
      <c r="I27" s="918"/>
      <c r="J27" s="819" t="s">
        <v>688</v>
      </c>
      <c r="K27" s="763"/>
      <c r="L27" s="763"/>
      <c r="M27" s="763"/>
      <c r="N27" s="815"/>
      <c r="O27" s="923" t="s">
        <v>731</v>
      </c>
      <c r="P27" s="924"/>
      <c r="Q27" s="924"/>
      <c r="R27" s="924"/>
      <c r="S27" s="925"/>
      <c r="T27" s="866" t="s">
        <v>732</v>
      </c>
      <c r="U27" s="818"/>
      <c r="V27" s="818"/>
      <c r="W27" s="824"/>
      <c r="X27" s="832" t="s">
        <v>733</v>
      </c>
      <c r="Y27" s="867"/>
      <c r="Z27" s="866" t="s">
        <v>734</v>
      </c>
      <c r="AA27" s="867"/>
      <c r="AB27" s="691"/>
      <c r="AC27" s="649" t="s">
        <v>735</v>
      </c>
      <c r="AD27" s="866" t="s">
        <v>736</v>
      </c>
      <c r="AE27" s="867"/>
      <c r="AF27" s="691"/>
      <c r="AG27" s="649" t="s">
        <v>735</v>
      </c>
    </row>
    <row r="28" spans="2:33" s="635" customFormat="1" ht="30" customHeight="1">
      <c r="B28" s="910"/>
      <c r="C28" s="911"/>
      <c r="D28" s="911"/>
      <c r="E28" s="912"/>
      <c r="F28" s="916"/>
      <c r="G28" s="916"/>
      <c r="H28" s="919"/>
      <c r="I28" s="920"/>
      <c r="J28" s="926" t="s">
        <v>737</v>
      </c>
      <c r="K28" s="926"/>
      <c r="L28" s="927" t="s">
        <v>738</v>
      </c>
      <c r="M28" s="928" t="s">
        <v>739</v>
      </c>
      <c r="N28" s="929"/>
      <c r="O28" s="926" t="s">
        <v>737</v>
      </c>
      <c r="P28" s="926"/>
      <c r="Q28" s="927" t="s">
        <v>738</v>
      </c>
      <c r="R28" s="928" t="s">
        <v>739</v>
      </c>
      <c r="S28" s="929"/>
      <c r="T28" s="930" t="s">
        <v>740</v>
      </c>
      <c r="U28" s="831"/>
      <c r="V28" s="831"/>
      <c r="W28" s="884"/>
      <c r="X28" s="931" t="s">
        <v>733</v>
      </c>
      <c r="Y28" s="932"/>
      <c r="Z28" s="933" t="s">
        <v>734</v>
      </c>
      <c r="AA28" s="932"/>
      <c r="AB28" s="690"/>
      <c r="AC28" s="648" t="s">
        <v>735</v>
      </c>
      <c r="AD28" s="933" t="s">
        <v>736</v>
      </c>
      <c r="AE28" s="932"/>
      <c r="AF28" s="690"/>
      <c r="AG28" s="648" t="s">
        <v>735</v>
      </c>
    </row>
    <row r="29" spans="2:33" s="635" customFormat="1" ht="30" customHeight="1">
      <c r="B29" s="913"/>
      <c r="C29" s="914"/>
      <c r="D29" s="914"/>
      <c r="E29" s="915"/>
      <c r="F29" s="916"/>
      <c r="G29" s="916"/>
      <c r="H29" s="921"/>
      <c r="I29" s="922"/>
      <c r="J29" s="926"/>
      <c r="K29" s="926"/>
      <c r="L29" s="927"/>
      <c r="M29" s="929"/>
      <c r="N29" s="929"/>
      <c r="O29" s="926"/>
      <c r="P29" s="926"/>
      <c r="Q29" s="927"/>
      <c r="R29" s="929"/>
      <c r="S29" s="929"/>
      <c r="T29" s="828"/>
      <c r="U29" s="812"/>
      <c r="V29" s="812"/>
      <c r="W29" s="885"/>
      <c r="X29" s="934" t="s">
        <v>741</v>
      </c>
      <c r="Y29" s="935"/>
      <c r="Z29" s="936" t="s">
        <v>734</v>
      </c>
      <c r="AA29" s="935"/>
      <c r="AB29" s="690"/>
      <c r="AC29" s="648" t="s">
        <v>735</v>
      </c>
      <c r="AD29" s="936" t="s">
        <v>736</v>
      </c>
      <c r="AE29" s="935"/>
      <c r="AF29" s="690"/>
      <c r="AG29" s="648" t="s">
        <v>735</v>
      </c>
    </row>
    <row r="30" spans="2:20" s="635" customFormat="1" ht="30" customHeight="1">
      <c r="B30" s="937"/>
      <c r="C30" s="938"/>
      <c r="D30" s="938"/>
      <c r="E30" s="939"/>
      <c r="F30" s="692"/>
      <c r="G30" s="692"/>
      <c r="H30" s="940" t="s">
        <v>742</v>
      </c>
      <c r="I30" s="941"/>
      <c r="J30" s="942"/>
      <c r="K30" s="849"/>
      <c r="L30" s="652"/>
      <c r="M30" s="942"/>
      <c r="N30" s="849"/>
      <c r="O30" s="942"/>
      <c r="P30" s="849"/>
      <c r="Q30" s="652"/>
      <c r="R30" s="942"/>
      <c r="S30" s="879"/>
      <c r="T30" s="693"/>
    </row>
    <row r="31" spans="2:20" s="635" customFormat="1" ht="30" customHeight="1">
      <c r="B31" s="943"/>
      <c r="C31" s="944"/>
      <c r="D31" s="944"/>
      <c r="E31" s="945"/>
      <c r="F31" s="694"/>
      <c r="G31" s="692"/>
      <c r="H31" s="946"/>
      <c r="I31" s="946"/>
      <c r="J31" s="780"/>
      <c r="K31" s="780"/>
      <c r="L31" s="692"/>
      <c r="M31" s="780"/>
      <c r="N31" s="780"/>
      <c r="O31" s="780"/>
      <c r="P31" s="780"/>
      <c r="Q31" s="692"/>
      <c r="R31" s="780"/>
      <c r="S31" s="780"/>
      <c r="T31" s="693"/>
    </row>
    <row r="32" spans="2:20" s="635" customFormat="1" ht="30" customHeight="1">
      <c r="B32" s="947"/>
      <c r="C32" s="948"/>
      <c r="D32" s="948"/>
      <c r="E32" s="949"/>
      <c r="F32" s="694"/>
      <c r="G32" s="692"/>
      <c r="H32" s="946"/>
      <c r="I32" s="946"/>
      <c r="J32" s="780"/>
      <c r="K32" s="780"/>
      <c r="L32" s="692"/>
      <c r="M32" s="780"/>
      <c r="N32" s="780"/>
      <c r="O32" s="780"/>
      <c r="P32" s="780"/>
      <c r="Q32" s="692"/>
      <c r="R32" s="780"/>
      <c r="S32" s="780"/>
      <c r="T32" s="693"/>
    </row>
    <row r="33" spans="2:20" s="635" customFormat="1" ht="30" customHeight="1">
      <c r="B33" s="890"/>
      <c r="C33" s="845"/>
      <c r="D33" s="845"/>
      <c r="E33" s="876"/>
      <c r="F33" s="694"/>
      <c r="G33" s="692"/>
      <c r="H33" s="780"/>
      <c r="I33" s="780"/>
      <c r="J33" s="780"/>
      <c r="K33" s="780"/>
      <c r="L33" s="692"/>
      <c r="M33" s="780"/>
      <c r="N33" s="780"/>
      <c r="O33" s="780"/>
      <c r="P33" s="780"/>
      <c r="Q33" s="692"/>
      <c r="R33" s="780"/>
      <c r="S33" s="780"/>
      <c r="T33" s="641"/>
    </row>
    <row r="34" spans="2:20" s="635" customFormat="1" ht="30" customHeight="1">
      <c r="B34" s="877"/>
      <c r="C34" s="878"/>
      <c r="D34" s="878"/>
      <c r="E34" s="882"/>
      <c r="F34" s="692"/>
      <c r="G34" s="692"/>
      <c r="H34" s="781"/>
      <c r="I34" s="879"/>
      <c r="J34" s="781"/>
      <c r="K34" s="879"/>
      <c r="L34" s="692"/>
      <c r="M34" s="781"/>
      <c r="N34" s="879"/>
      <c r="O34" s="780"/>
      <c r="P34" s="780"/>
      <c r="Q34" s="692"/>
      <c r="R34" s="780"/>
      <c r="S34" s="780"/>
      <c r="T34" s="641"/>
    </row>
    <row r="35" spans="2:20" s="635" customFormat="1" ht="30" customHeight="1">
      <c r="B35" s="888"/>
      <c r="C35" s="842"/>
      <c r="D35" s="842"/>
      <c r="E35" s="950"/>
      <c r="F35" s="692"/>
      <c r="G35" s="694"/>
      <c r="H35" s="781"/>
      <c r="I35" s="849"/>
      <c r="J35" s="942"/>
      <c r="K35" s="849"/>
      <c r="L35" s="652"/>
      <c r="M35" s="942"/>
      <c r="N35" s="849"/>
      <c r="O35" s="951"/>
      <c r="P35" s="952"/>
      <c r="Q35" s="652"/>
      <c r="R35" s="951"/>
      <c r="S35" s="953"/>
      <c r="T35" s="641"/>
    </row>
  </sheetData>
  <sheetProtection/>
  <mergeCells count="144">
    <mergeCell ref="B35:E35"/>
    <mergeCell ref="H35:I35"/>
    <mergeCell ref="J35:K35"/>
    <mergeCell ref="M35:N35"/>
    <mergeCell ref="O35:P35"/>
    <mergeCell ref="R35:S35"/>
    <mergeCell ref="B34:E34"/>
    <mergeCell ref="H34:I34"/>
    <mergeCell ref="J34:K34"/>
    <mergeCell ref="M34:N34"/>
    <mergeCell ref="O34:P34"/>
    <mergeCell ref="R34:S34"/>
    <mergeCell ref="B33:E33"/>
    <mergeCell ref="H33:I33"/>
    <mergeCell ref="J33:K33"/>
    <mergeCell ref="M33:N33"/>
    <mergeCell ref="O33:P33"/>
    <mergeCell ref="R33:S33"/>
    <mergeCell ref="B32:E32"/>
    <mergeCell ref="H32:I32"/>
    <mergeCell ref="J32:K32"/>
    <mergeCell ref="M32:N32"/>
    <mergeCell ref="O32:P32"/>
    <mergeCell ref="R32:S32"/>
    <mergeCell ref="B31:E31"/>
    <mergeCell ref="H31:I31"/>
    <mergeCell ref="J31:K31"/>
    <mergeCell ref="M31:N31"/>
    <mergeCell ref="O31:P31"/>
    <mergeCell ref="R31:S31"/>
    <mergeCell ref="B30:E30"/>
    <mergeCell ref="H30:I30"/>
    <mergeCell ref="J30:K30"/>
    <mergeCell ref="M30:N30"/>
    <mergeCell ref="O30:P30"/>
    <mergeCell ref="R30:S30"/>
    <mergeCell ref="X28:Y28"/>
    <mergeCell ref="Z28:AA28"/>
    <mergeCell ref="AD28:AE28"/>
    <mergeCell ref="X29:Y29"/>
    <mergeCell ref="Z29:AA29"/>
    <mergeCell ref="AD29:AE29"/>
    <mergeCell ref="X27:Y27"/>
    <mergeCell ref="Z27:AA27"/>
    <mergeCell ref="AD27:AE27"/>
    <mergeCell ref="J28:K29"/>
    <mergeCell ref="L28:L29"/>
    <mergeCell ref="M28:N29"/>
    <mergeCell ref="O28:P29"/>
    <mergeCell ref="Q28:Q29"/>
    <mergeCell ref="R28:S29"/>
    <mergeCell ref="T28:W29"/>
    <mergeCell ref="B25:AG25"/>
    <mergeCell ref="B26:S26"/>
    <mergeCell ref="T26:AG26"/>
    <mergeCell ref="B27:E29"/>
    <mergeCell ref="F27:F29"/>
    <mergeCell ref="G27:G29"/>
    <mergeCell ref="H27:I29"/>
    <mergeCell ref="J27:N27"/>
    <mergeCell ref="O27:S27"/>
    <mergeCell ref="T27:W27"/>
    <mergeCell ref="B15:Q18"/>
    <mergeCell ref="R15:AG18"/>
    <mergeCell ref="B19:Q19"/>
    <mergeCell ref="R19:AG19"/>
    <mergeCell ref="B20:Q23"/>
    <mergeCell ref="R20:AG23"/>
    <mergeCell ref="B13:I13"/>
    <mergeCell ref="J13:L13"/>
    <mergeCell ref="N13:P13"/>
    <mergeCell ref="R13:Y13"/>
    <mergeCell ref="B14:Q14"/>
    <mergeCell ref="R14:AG14"/>
    <mergeCell ref="V11:W11"/>
    <mergeCell ref="X11:Y11"/>
    <mergeCell ref="E12:F12"/>
    <mergeCell ref="G12:H12"/>
    <mergeCell ref="J12:L12"/>
    <mergeCell ref="N12:P12"/>
    <mergeCell ref="R12:U12"/>
    <mergeCell ref="V12:W12"/>
    <mergeCell ref="X12:Y12"/>
    <mergeCell ref="B11:D12"/>
    <mergeCell ref="E11:F11"/>
    <mergeCell ref="G11:H11"/>
    <mergeCell ref="J11:L11"/>
    <mergeCell ref="N11:P11"/>
    <mergeCell ref="R11:U11"/>
    <mergeCell ref="G10:H10"/>
    <mergeCell ref="J10:L10"/>
    <mergeCell ref="N10:P10"/>
    <mergeCell ref="R10:U10"/>
    <mergeCell ref="V10:W10"/>
    <mergeCell ref="X10:Y10"/>
    <mergeCell ref="X8:Y8"/>
    <mergeCell ref="B9:D10"/>
    <mergeCell ref="E9:F9"/>
    <mergeCell ref="G9:H9"/>
    <mergeCell ref="J9:L9"/>
    <mergeCell ref="N9:P9"/>
    <mergeCell ref="R9:U9"/>
    <mergeCell ref="V9:W9"/>
    <mergeCell ref="X9:Y9"/>
    <mergeCell ref="E10:F10"/>
    <mergeCell ref="E8:F8"/>
    <mergeCell ref="G8:H8"/>
    <mergeCell ref="J8:L8"/>
    <mergeCell ref="N8:P8"/>
    <mergeCell ref="R8:U8"/>
    <mergeCell ref="V8:W8"/>
    <mergeCell ref="AD6:AE6"/>
    <mergeCell ref="AF6:AG6"/>
    <mergeCell ref="B7:D8"/>
    <mergeCell ref="E7:F7"/>
    <mergeCell ref="G7:H7"/>
    <mergeCell ref="J7:L7"/>
    <mergeCell ref="N7:P7"/>
    <mergeCell ref="R7:U7"/>
    <mergeCell ref="V7:W7"/>
    <mergeCell ref="X7:Y7"/>
    <mergeCell ref="V4:Y4"/>
    <mergeCell ref="Z4:AG4"/>
    <mergeCell ref="E5:F6"/>
    <mergeCell ref="G5:H6"/>
    <mergeCell ref="V5:W6"/>
    <mergeCell ref="X5:Y6"/>
    <mergeCell ref="Z5:AC5"/>
    <mergeCell ref="AD5:AG5"/>
    <mergeCell ref="Z6:AA6"/>
    <mergeCell ref="AB6:AC6"/>
    <mergeCell ref="B4:D6"/>
    <mergeCell ref="E4:H4"/>
    <mergeCell ref="I4:I6"/>
    <mergeCell ref="J4:M6"/>
    <mergeCell ref="N4:Q6"/>
    <mergeCell ref="R4:U6"/>
    <mergeCell ref="BL1:BN1"/>
    <mergeCell ref="BO1:BQ1"/>
    <mergeCell ref="B2:AG2"/>
    <mergeCell ref="BL2:BN2"/>
    <mergeCell ref="BO2:BQ2"/>
    <mergeCell ref="B3:Q3"/>
    <mergeCell ref="R3:AG3"/>
  </mergeCells>
  <printOptions/>
  <pageMargins left="0.7" right="0.7" top="0.75" bottom="0.75" header="0.3" footer="0.3"/>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B1:BP29"/>
  <sheetViews>
    <sheetView zoomScale="70" zoomScaleNormal="70" zoomScalePageLayoutView="0" workbookViewId="0" topLeftCell="A1">
      <selection activeCell="B16" sqref="B16:O16"/>
    </sheetView>
  </sheetViews>
  <sheetFormatPr defaultColWidth="9.00390625" defaultRowHeight="13.5"/>
  <cols>
    <col min="1" max="1" width="1.875" style="668" customWidth="1"/>
    <col min="2" max="20" width="8.875" style="668" customWidth="1"/>
    <col min="21" max="21" width="2.125" style="668" customWidth="1"/>
    <col min="22" max="16384" width="8.875" style="668" customWidth="1"/>
  </cols>
  <sheetData>
    <row r="1" spans="2:20" s="635" customFormat="1" ht="7.5" customHeight="1">
      <c r="B1" s="641"/>
      <c r="C1" s="641"/>
      <c r="D1" s="641"/>
      <c r="E1" s="641"/>
      <c r="F1" s="641"/>
      <c r="G1" s="641"/>
      <c r="H1" s="641"/>
      <c r="I1" s="641"/>
      <c r="J1" s="641"/>
      <c r="K1" s="641"/>
      <c r="L1" s="641"/>
      <c r="M1" s="641"/>
      <c r="N1" s="641"/>
      <c r="O1" s="641"/>
      <c r="P1" s="641"/>
      <c r="Q1" s="641"/>
      <c r="R1" s="641"/>
      <c r="S1" s="641"/>
      <c r="T1" s="641"/>
    </row>
    <row r="2" spans="2:33" s="635" customFormat="1" ht="27" customHeight="1" thickBot="1">
      <c r="B2" s="642" t="s">
        <v>743</v>
      </c>
      <c r="C2" s="642"/>
      <c r="D2" s="642"/>
      <c r="E2" s="642"/>
      <c r="F2" s="642"/>
      <c r="G2" s="642"/>
      <c r="H2" s="642"/>
      <c r="I2" s="642"/>
      <c r="J2" s="642"/>
      <c r="K2" s="642"/>
      <c r="L2" s="642"/>
      <c r="M2" s="642"/>
      <c r="N2" s="642"/>
      <c r="O2" s="642"/>
      <c r="P2" s="642"/>
      <c r="Q2" s="642"/>
      <c r="R2" s="637"/>
      <c r="S2" s="637"/>
      <c r="T2" s="637"/>
      <c r="U2" s="689"/>
      <c r="V2" s="689"/>
      <c r="W2" s="689"/>
      <c r="X2" s="689"/>
      <c r="Y2" s="689"/>
      <c r="Z2" s="689"/>
      <c r="AA2" s="689"/>
      <c r="AB2" s="689"/>
      <c r="AC2" s="689"/>
      <c r="AD2" s="689"/>
      <c r="AE2" s="689"/>
      <c r="AF2" s="689"/>
      <c r="AG2" s="689"/>
    </row>
    <row r="3" spans="2:20" s="635" customFormat="1" ht="24" customHeight="1">
      <c r="B3" s="954" t="s">
        <v>744</v>
      </c>
      <c r="C3" s="955"/>
      <c r="D3" s="955"/>
      <c r="E3" s="955"/>
      <c r="F3" s="955"/>
      <c r="G3" s="955"/>
      <c r="H3" s="955"/>
      <c r="I3" s="955"/>
      <c r="J3" s="955"/>
      <c r="K3" s="955"/>
      <c r="L3" s="955"/>
      <c r="M3" s="955"/>
      <c r="N3" s="955"/>
      <c r="O3" s="956"/>
      <c r="P3" s="957" t="s">
        <v>745</v>
      </c>
      <c r="Q3" s="955"/>
      <c r="R3" s="955"/>
      <c r="S3" s="955"/>
      <c r="T3" s="958"/>
    </row>
    <row r="4" spans="2:20" s="635" customFormat="1" ht="24" customHeight="1">
      <c r="B4" s="730"/>
      <c r="C4" s="731"/>
      <c r="D4" s="731"/>
      <c r="E4" s="731"/>
      <c r="F4" s="731"/>
      <c r="G4" s="731"/>
      <c r="H4" s="731"/>
      <c r="I4" s="731"/>
      <c r="J4" s="731"/>
      <c r="K4" s="731"/>
      <c r="L4" s="731"/>
      <c r="M4" s="731"/>
      <c r="N4" s="731"/>
      <c r="O4" s="732"/>
      <c r="P4" s="733"/>
      <c r="Q4" s="731"/>
      <c r="R4" s="731"/>
      <c r="S4" s="731"/>
      <c r="T4" s="869"/>
    </row>
    <row r="5" spans="2:20" s="635" customFormat="1" ht="24" customHeight="1">
      <c r="B5" s="730"/>
      <c r="C5" s="731"/>
      <c r="D5" s="731"/>
      <c r="E5" s="731"/>
      <c r="F5" s="731"/>
      <c r="G5" s="731"/>
      <c r="H5" s="731"/>
      <c r="I5" s="731"/>
      <c r="J5" s="731"/>
      <c r="K5" s="731"/>
      <c r="L5" s="731"/>
      <c r="M5" s="731"/>
      <c r="N5" s="731"/>
      <c r="O5" s="732"/>
      <c r="P5" s="733"/>
      <c r="Q5" s="731"/>
      <c r="R5" s="731"/>
      <c r="S5" s="731"/>
      <c r="T5" s="869"/>
    </row>
    <row r="6" spans="2:20" s="635" customFormat="1" ht="24" customHeight="1">
      <c r="B6" s="730"/>
      <c r="C6" s="731"/>
      <c r="D6" s="731"/>
      <c r="E6" s="731"/>
      <c r="F6" s="731"/>
      <c r="G6" s="731"/>
      <c r="H6" s="731"/>
      <c r="I6" s="731"/>
      <c r="J6" s="731"/>
      <c r="K6" s="731"/>
      <c r="L6" s="731"/>
      <c r="M6" s="731"/>
      <c r="N6" s="731"/>
      <c r="O6" s="732"/>
      <c r="P6" s="733"/>
      <c r="Q6" s="731"/>
      <c r="R6" s="731"/>
      <c r="S6" s="731"/>
      <c r="T6" s="869"/>
    </row>
    <row r="7" spans="2:20" s="635" customFormat="1" ht="24" customHeight="1">
      <c r="B7" s="730"/>
      <c r="C7" s="731"/>
      <c r="D7" s="731"/>
      <c r="E7" s="731"/>
      <c r="F7" s="731"/>
      <c r="G7" s="731"/>
      <c r="H7" s="731"/>
      <c r="I7" s="731"/>
      <c r="J7" s="731"/>
      <c r="K7" s="731"/>
      <c r="L7" s="731"/>
      <c r="M7" s="731"/>
      <c r="N7" s="731"/>
      <c r="O7" s="732"/>
      <c r="P7" s="733"/>
      <c r="Q7" s="731"/>
      <c r="R7" s="731"/>
      <c r="S7" s="731"/>
      <c r="T7" s="869"/>
    </row>
    <row r="8" spans="2:20" s="635" customFormat="1" ht="24" customHeight="1">
      <c r="B8" s="730"/>
      <c r="C8" s="731"/>
      <c r="D8" s="731"/>
      <c r="E8" s="731"/>
      <c r="F8" s="731"/>
      <c r="G8" s="731"/>
      <c r="H8" s="731"/>
      <c r="I8" s="731"/>
      <c r="J8" s="731"/>
      <c r="K8" s="731"/>
      <c r="L8" s="731"/>
      <c r="M8" s="731"/>
      <c r="N8" s="731"/>
      <c r="O8" s="732"/>
      <c r="P8" s="733"/>
      <c r="Q8" s="731"/>
      <c r="R8" s="731"/>
      <c r="S8" s="731"/>
      <c r="T8" s="869"/>
    </row>
    <row r="9" spans="2:68" s="635" customFormat="1" ht="24" customHeight="1">
      <c r="B9" s="730"/>
      <c r="C9" s="731"/>
      <c r="D9" s="731"/>
      <c r="E9" s="731"/>
      <c r="F9" s="731"/>
      <c r="G9" s="731"/>
      <c r="H9" s="731"/>
      <c r="I9" s="731"/>
      <c r="J9" s="731"/>
      <c r="K9" s="731"/>
      <c r="L9" s="731"/>
      <c r="M9" s="731"/>
      <c r="N9" s="731"/>
      <c r="O9" s="732"/>
      <c r="P9" s="733"/>
      <c r="Q9" s="731"/>
      <c r="R9" s="731"/>
      <c r="S9" s="731"/>
      <c r="T9" s="869"/>
      <c r="AK9" s="642"/>
      <c r="AL9" s="642"/>
      <c r="AM9" s="642"/>
      <c r="AN9" s="642"/>
      <c r="AO9" s="642"/>
      <c r="AP9" s="642"/>
      <c r="AQ9" s="642"/>
      <c r="AR9" s="642"/>
      <c r="AS9" s="642"/>
      <c r="AT9" s="642"/>
      <c r="AU9" s="642"/>
      <c r="AV9" s="642"/>
      <c r="AW9" s="642"/>
      <c r="AX9" s="642"/>
      <c r="AY9" s="642"/>
      <c r="AZ9" s="642"/>
      <c r="BA9" s="637"/>
      <c r="BB9" s="637"/>
      <c r="BC9" s="637"/>
      <c r="BD9" s="689"/>
      <c r="BE9" s="689"/>
      <c r="BF9" s="689"/>
      <c r="BG9" s="689"/>
      <c r="BH9" s="689"/>
      <c r="BI9" s="689"/>
      <c r="BJ9" s="689"/>
      <c r="BK9" s="689"/>
      <c r="BL9" s="689"/>
      <c r="BM9" s="689"/>
      <c r="BN9" s="689"/>
      <c r="BO9" s="689"/>
      <c r="BP9" s="689"/>
    </row>
    <row r="10" spans="2:55" s="635" customFormat="1" ht="24" customHeight="1">
      <c r="B10" s="730"/>
      <c r="C10" s="731"/>
      <c r="D10" s="731"/>
      <c r="E10" s="731"/>
      <c r="F10" s="731"/>
      <c r="G10" s="731"/>
      <c r="H10" s="731"/>
      <c r="I10" s="731"/>
      <c r="J10" s="731"/>
      <c r="K10" s="731"/>
      <c r="L10" s="731"/>
      <c r="M10" s="731"/>
      <c r="N10" s="731"/>
      <c r="O10" s="732"/>
      <c r="P10" s="733"/>
      <c r="Q10" s="731"/>
      <c r="R10" s="731"/>
      <c r="S10" s="731"/>
      <c r="T10" s="869"/>
      <c r="AK10" s="717"/>
      <c r="AL10" s="717"/>
      <c r="AM10" s="717"/>
      <c r="AN10" s="717"/>
      <c r="AO10" s="717"/>
      <c r="AP10" s="717"/>
      <c r="AQ10" s="717"/>
      <c r="AR10" s="717"/>
      <c r="AS10" s="717"/>
      <c r="AT10" s="717"/>
      <c r="AU10" s="717"/>
      <c r="AV10" s="717"/>
      <c r="AW10" s="717"/>
      <c r="AX10" s="717"/>
      <c r="AY10" s="717"/>
      <c r="AZ10" s="717"/>
      <c r="BA10" s="717"/>
      <c r="BB10" s="717"/>
      <c r="BC10" s="717"/>
    </row>
    <row r="11" spans="2:55" s="635" customFormat="1" ht="24" customHeight="1">
      <c r="B11" s="730"/>
      <c r="C11" s="731"/>
      <c r="D11" s="731"/>
      <c r="E11" s="731"/>
      <c r="F11" s="731"/>
      <c r="G11" s="731"/>
      <c r="H11" s="731"/>
      <c r="I11" s="731"/>
      <c r="J11" s="731"/>
      <c r="K11" s="731"/>
      <c r="L11" s="731"/>
      <c r="M11" s="731"/>
      <c r="N11" s="731"/>
      <c r="O11" s="732"/>
      <c r="P11" s="733"/>
      <c r="Q11" s="731"/>
      <c r="R11" s="731"/>
      <c r="S11" s="731"/>
      <c r="T11" s="869"/>
      <c r="AK11" s="689"/>
      <c r="AL11" s="689"/>
      <c r="AM11" s="689"/>
      <c r="AN11" s="689"/>
      <c r="AO11" s="689"/>
      <c r="AP11" s="689"/>
      <c r="AQ11" s="689"/>
      <c r="AR11" s="689"/>
      <c r="AS11" s="689"/>
      <c r="AT11" s="689"/>
      <c r="AU11" s="689"/>
      <c r="AV11" s="688"/>
      <c r="AW11" s="688"/>
      <c r="AX11" s="688"/>
      <c r="AY11" s="689"/>
      <c r="AZ11" s="689"/>
      <c r="BA11" s="689"/>
      <c r="BB11" s="689"/>
      <c r="BC11" s="689"/>
    </row>
    <row r="12" spans="2:55" s="635" customFormat="1" ht="24" customHeight="1">
      <c r="B12" s="730"/>
      <c r="C12" s="731"/>
      <c r="D12" s="731"/>
      <c r="E12" s="731"/>
      <c r="F12" s="731"/>
      <c r="G12" s="731"/>
      <c r="H12" s="731"/>
      <c r="I12" s="731"/>
      <c r="J12" s="731"/>
      <c r="K12" s="731"/>
      <c r="L12" s="731"/>
      <c r="M12" s="731"/>
      <c r="N12" s="731"/>
      <c r="O12" s="732"/>
      <c r="P12" s="733"/>
      <c r="Q12" s="731"/>
      <c r="R12" s="731"/>
      <c r="S12" s="731"/>
      <c r="T12" s="869"/>
      <c r="AK12" s="689"/>
      <c r="AL12" s="689"/>
      <c r="AM12" s="689"/>
      <c r="AN12" s="689"/>
      <c r="AO12" s="689"/>
      <c r="AP12" s="689"/>
      <c r="AQ12" s="689"/>
      <c r="AR12" s="689"/>
      <c r="AS12" s="689"/>
      <c r="AT12" s="689"/>
      <c r="AU12" s="689"/>
      <c r="AV12" s="688"/>
      <c r="AW12" s="688"/>
      <c r="AX12" s="688"/>
      <c r="AY12" s="689"/>
      <c r="AZ12" s="689"/>
      <c r="BA12" s="689"/>
      <c r="BB12" s="689"/>
      <c r="BC12" s="689"/>
    </row>
    <row r="13" spans="2:55" s="635" customFormat="1" ht="24" customHeight="1">
      <c r="B13" s="730"/>
      <c r="C13" s="731"/>
      <c r="D13" s="731"/>
      <c r="E13" s="731"/>
      <c r="F13" s="731"/>
      <c r="G13" s="731"/>
      <c r="H13" s="731"/>
      <c r="I13" s="731"/>
      <c r="J13" s="731"/>
      <c r="K13" s="731"/>
      <c r="L13" s="731"/>
      <c r="M13" s="731"/>
      <c r="N13" s="731"/>
      <c r="O13" s="732"/>
      <c r="P13" s="733"/>
      <c r="Q13" s="731"/>
      <c r="R13" s="731"/>
      <c r="S13" s="731"/>
      <c r="T13" s="869"/>
      <c r="AK13" s="689"/>
      <c r="AL13" s="689"/>
      <c r="AM13" s="689"/>
      <c r="AN13" s="689"/>
      <c r="AO13" s="689"/>
      <c r="AP13" s="689"/>
      <c r="AQ13" s="689"/>
      <c r="AR13" s="689"/>
      <c r="AS13" s="689"/>
      <c r="AT13" s="689"/>
      <c r="AU13" s="689"/>
      <c r="AV13" s="688"/>
      <c r="AW13" s="688"/>
      <c r="AX13" s="688"/>
      <c r="AY13" s="689"/>
      <c r="AZ13" s="689"/>
      <c r="BA13" s="689"/>
      <c r="BB13" s="689"/>
      <c r="BC13" s="689"/>
    </row>
    <row r="14" spans="2:55" s="635" customFormat="1" ht="24" customHeight="1">
      <c r="B14" s="730"/>
      <c r="C14" s="731"/>
      <c r="D14" s="731"/>
      <c r="E14" s="731"/>
      <c r="F14" s="731"/>
      <c r="G14" s="731"/>
      <c r="H14" s="731"/>
      <c r="I14" s="731"/>
      <c r="J14" s="731"/>
      <c r="K14" s="731"/>
      <c r="L14" s="731"/>
      <c r="M14" s="731"/>
      <c r="N14" s="731"/>
      <c r="O14" s="732"/>
      <c r="P14" s="733"/>
      <c r="Q14" s="731"/>
      <c r="R14" s="731"/>
      <c r="S14" s="731"/>
      <c r="T14" s="869"/>
      <c r="AK14" s="689"/>
      <c r="AL14" s="689"/>
      <c r="AM14" s="689"/>
      <c r="AN14" s="689"/>
      <c r="AO14" s="689"/>
      <c r="AP14" s="689"/>
      <c r="AQ14" s="689"/>
      <c r="AR14" s="689"/>
      <c r="AS14" s="689"/>
      <c r="AT14" s="689"/>
      <c r="AU14" s="689"/>
      <c r="AV14" s="688"/>
      <c r="AW14" s="688"/>
      <c r="AX14" s="688"/>
      <c r="AY14" s="689"/>
      <c r="AZ14" s="689"/>
      <c r="BA14" s="689"/>
      <c r="BB14" s="689"/>
      <c r="BC14" s="689"/>
    </row>
    <row r="15" spans="2:55" s="635" customFormat="1" ht="24" customHeight="1">
      <c r="B15" s="730"/>
      <c r="C15" s="731"/>
      <c r="D15" s="731"/>
      <c r="E15" s="731"/>
      <c r="F15" s="731"/>
      <c r="G15" s="731"/>
      <c r="H15" s="731"/>
      <c r="I15" s="731"/>
      <c r="J15" s="731"/>
      <c r="K15" s="731"/>
      <c r="L15" s="731"/>
      <c r="M15" s="731"/>
      <c r="N15" s="731"/>
      <c r="O15" s="732"/>
      <c r="P15" s="733"/>
      <c r="Q15" s="731"/>
      <c r="R15" s="731"/>
      <c r="S15" s="731"/>
      <c r="T15" s="869"/>
      <c r="AK15" s="689"/>
      <c r="AL15" s="689"/>
      <c r="AM15" s="689"/>
      <c r="AN15" s="689"/>
      <c r="AO15" s="689"/>
      <c r="AP15" s="689"/>
      <c r="AQ15" s="689"/>
      <c r="AR15" s="689"/>
      <c r="AS15" s="689"/>
      <c r="AT15" s="689"/>
      <c r="AU15" s="689"/>
      <c r="AV15" s="688"/>
      <c r="AW15" s="688"/>
      <c r="AX15" s="688"/>
      <c r="AY15" s="689"/>
      <c r="AZ15" s="689"/>
      <c r="BA15" s="689"/>
      <c r="BB15" s="689"/>
      <c r="BC15" s="689"/>
    </row>
    <row r="16" spans="2:55" s="635" customFormat="1" ht="24" customHeight="1">
      <c r="B16" s="730"/>
      <c r="C16" s="731"/>
      <c r="D16" s="731"/>
      <c r="E16" s="731"/>
      <c r="F16" s="731"/>
      <c r="G16" s="731"/>
      <c r="H16" s="731"/>
      <c r="I16" s="731"/>
      <c r="J16" s="731"/>
      <c r="K16" s="731"/>
      <c r="L16" s="731"/>
      <c r="M16" s="731"/>
      <c r="N16" s="731"/>
      <c r="O16" s="732"/>
      <c r="P16" s="733"/>
      <c r="Q16" s="731"/>
      <c r="R16" s="731"/>
      <c r="S16" s="731"/>
      <c r="T16" s="869"/>
      <c r="AK16" s="689"/>
      <c r="AL16" s="689"/>
      <c r="AM16" s="689"/>
      <c r="AN16" s="689"/>
      <c r="AO16" s="689"/>
      <c r="AP16" s="689"/>
      <c r="AQ16" s="689"/>
      <c r="AR16" s="689"/>
      <c r="AS16" s="689"/>
      <c r="AT16" s="689"/>
      <c r="AU16" s="689"/>
      <c r="AV16" s="688"/>
      <c r="AW16" s="688"/>
      <c r="AX16" s="688"/>
      <c r="AY16" s="689"/>
      <c r="AZ16" s="689"/>
      <c r="BA16" s="689"/>
      <c r="BB16" s="689"/>
      <c r="BC16" s="689"/>
    </row>
    <row r="17" spans="2:55" s="635" customFormat="1" ht="24" customHeight="1">
      <c r="B17" s="730"/>
      <c r="C17" s="731"/>
      <c r="D17" s="731"/>
      <c r="E17" s="731"/>
      <c r="F17" s="731"/>
      <c r="G17" s="731"/>
      <c r="H17" s="731"/>
      <c r="I17" s="731"/>
      <c r="J17" s="731"/>
      <c r="K17" s="731"/>
      <c r="L17" s="731"/>
      <c r="M17" s="731"/>
      <c r="N17" s="731"/>
      <c r="O17" s="732"/>
      <c r="P17" s="733"/>
      <c r="Q17" s="731"/>
      <c r="R17" s="731"/>
      <c r="S17" s="731"/>
      <c r="T17" s="869"/>
      <c r="AK17" s="689"/>
      <c r="AL17" s="689"/>
      <c r="AM17" s="689"/>
      <c r="AN17" s="689"/>
      <c r="AO17" s="689"/>
      <c r="AP17" s="689"/>
      <c r="AQ17" s="689"/>
      <c r="AR17" s="689"/>
      <c r="AS17" s="689"/>
      <c r="AT17" s="689"/>
      <c r="AU17" s="689"/>
      <c r="AV17" s="688"/>
      <c r="AW17" s="688"/>
      <c r="AX17" s="688"/>
      <c r="AY17" s="689"/>
      <c r="AZ17" s="689"/>
      <c r="BA17" s="689"/>
      <c r="BB17" s="689"/>
      <c r="BC17" s="689"/>
    </row>
    <row r="18" spans="2:55" s="635" customFormat="1" ht="24" customHeight="1">
      <c r="B18" s="730"/>
      <c r="C18" s="731"/>
      <c r="D18" s="731"/>
      <c r="E18" s="731"/>
      <c r="F18" s="731"/>
      <c r="G18" s="731"/>
      <c r="H18" s="731"/>
      <c r="I18" s="731"/>
      <c r="J18" s="731"/>
      <c r="K18" s="731"/>
      <c r="L18" s="731"/>
      <c r="M18" s="731"/>
      <c r="N18" s="731"/>
      <c r="O18" s="732"/>
      <c r="P18" s="733"/>
      <c r="Q18" s="731"/>
      <c r="R18" s="731"/>
      <c r="S18" s="731"/>
      <c r="T18" s="869"/>
      <c r="AK18" s="689"/>
      <c r="AL18" s="689"/>
      <c r="AM18" s="689"/>
      <c r="AN18" s="689"/>
      <c r="AO18" s="689"/>
      <c r="AP18" s="689"/>
      <c r="AQ18" s="689"/>
      <c r="AR18" s="689"/>
      <c r="AS18" s="689"/>
      <c r="AT18" s="689"/>
      <c r="AU18" s="689"/>
      <c r="AV18" s="688"/>
      <c r="AW18" s="688"/>
      <c r="AX18" s="688"/>
      <c r="AY18" s="689"/>
      <c r="AZ18" s="689"/>
      <c r="BA18" s="689"/>
      <c r="BB18" s="689"/>
      <c r="BC18" s="689"/>
    </row>
    <row r="19" spans="2:55" s="635" customFormat="1" ht="24" customHeight="1">
      <c r="B19" s="730"/>
      <c r="C19" s="731"/>
      <c r="D19" s="731"/>
      <c r="E19" s="731"/>
      <c r="F19" s="731"/>
      <c r="G19" s="731"/>
      <c r="H19" s="731"/>
      <c r="I19" s="731"/>
      <c r="J19" s="731"/>
      <c r="K19" s="731"/>
      <c r="L19" s="731"/>
      <c r="M19" s="731"/>
      <c r="N19" s="731"/>
      <c r="O19" s="732"/>
      <c r="P19" s="733"/>
      <c r="Q19" s="731"/>
      <c r="R19" s="731"/>
      <c r="S19" s="731"/>
      <c r="T19" s="869"/>
      <c r="AK19" s="689"/>
      <c r="AL19" s="689"/>
      <c r="AM19" s="689"/>
      <c r="AN19" s="689"/>
      <c r="AO19" s="689"/>
      <c r="AP19" s="689"/>
      <c r="AQ19" s="689"/>
      <c r="AR19" s="689"/>
      <c r="AS19" s="689"/>
      <c r="AT19" s="689"/>
      <c r="AU19" s="689"/>
      <c r="AV19" s="688"/>
      <c r="AW19" s="688"/>
      <c r="AX19" s="688"/>
      <c r="AY19" s="689"/>
      <c r="AZ19" s="689"/>
      <c r="BA19" s="689"/>
      <c r="BB19" s="689"/>
      <c r="BC19" s="689"/>
    </row>
    <row r="20" spans="2:55" s="635" customFormat="1" ht="24" customHeight="1">
      <c r="B20" s="730"/>
      <c r="C20" s="731"/>
      <c r="D20" s="731"/>
      <c r="E20" s="731"/>
      <c r="F20" s="731"/>
      <c r="G20" s="731"/>
      <c r="H20" s="731"/>
      <c r="I20" s="731"/>
      <c r="J20" s="731"/>
      <c r="K20" s="731"/>
      <c r="L20" s="731"/>
      <c r="M20" s="731"/>
      <c r="N20" s="731"/>
      <c r="O20" s="732"/>
      <c r="P20" s="733"/>
      <c r="Q20" s="731"/>
      <c r="R20" s="731"/>
      <c r="S20" s="731"/>
      <c r="T20" s="869"/>
      <c r="AK20" s="689"/>
      <c r="AL20" s="689"/>
      <c r="AM20" s="689"/>
      <c r="AN20" s="689"/>
      <c r="AO20" s="689"/>
      <c r="AP20" s="689"/>
      <c r="AQ20" s="689"/>
      <c r="AR20" s="689"/>
      <c r="AS20" s="689"/>
      <c r="AT20" s="689"/>
      <c r="AU20" s="689"/>
      <c r="AV20" s="688"/>
      <c r="AW20" s="688"/>
      <c r="AX20" s="688"/>
      <c r="AY20" s="689"/>
      <c r="AZ20" s="689"/>
      <c r="BA20" s="689"/>
      <c r="BB20" s="689"/>
      <c r="BC20" s="689"/>
    </row>
    <row r="21" spans="2:55" s="635" customFormat="1" ht="24" customHeight="1">
      <c r="B21" s="730"/>
      <c r="C21" s="731"/>
      <c r="D21" s="731"/>
      <c r="E21" s="731"/>
      <c r="F21" s="731"/>
      <c r="G21" s="731"/>
      <c r="H21" s="731"/>
      <c r="I21" s="731"/>
      <c r="J21" s="731"/>
      <c r="K21" s="731"/>
      <c r="L21" s="731"/>
      <c r="M21" s="731"/>
      <c r="N21" s="731"/>
      <c r="O21" s="732"/>
      <c r="P21" s="733"/>
      <c r="Q21" s="731"/>
      <c r="R21" s="731"/>
      <c r="S21" s="731"/>
      <c r="T21" s="869"/>
      <c r="AK21" s="689"/>
      <c r="AL21" s="689"/>
      <c r="AM21" s="689"/>
      <c r="AN21" s="689"/>
      <c r="AO21" s="689"/>
      <c r="AP21" s="689"/>
      <c r="AQ21" s="689"/>
      <c r="AR21" s="689"/>
      <c r="AS21" s="689"/>
      <c r="AT21" s="689"/>
      <c r="AU21" s="689"/>
      <c r="AV21" s="688"/>
      <c r="AW21" s="688"/>
      <c r="AX21" s="688"/>
      <c r="AY21" s="689"/>
      <c r="AZ21" s="689"/>
      <c r="BA21" s="689"/>
      <c r="BB21" s="689"/>
      <c r="BC21" s="689"/>
    </row>
    <row r="22" spans="2:55" s="635" customFormat="1" ht="24" customHeight="1">
      <c r="B22" s="730"/>
      <c r="C22" s="731"/>
      <c r="D22" s="731"/>
      <c r="E22" s="731"/>
      <c r="F22" s="731"/>
      <c r="G22" s="731"/>
      <c r="H22" s="731"/>
      <c r="I22" s="731"/>
      <c r="J22" s="731"/>
      <c r="K22" s="731"/>
      <c r="L22" s="731"/>
      <c r="M22" s="731"/>
      <c r="N22" s="731"/>
      <c r="O22" s="732"/>
      <c r="P22" s="733"/>
      <c r="Q22" s="731"/>
      <c r="R22" s="731"/>
      <c r="S22" s="731"/>
      <c r="T22" s="869"/>
      <c r="AK22" s="689"/>
      <c r="AL22" s="689"/>
      <c r="AM22" s="689"/>
      <c r="AN22" s="689"/>
      <c r="AO22" s="689"/>
      <c r="AP22" s="689"/>
      <c r="AQ22" s="689"/>
      <c r="AR22" s="689"/>
      <c r="AS22" s="689"/>
      <c r="AT22" s="689"/>
      <c r="AU22" s="689"/>
      <c r="AV22" s="688"/>
      <c r="AW22" s="688"/>
      <c r="AX22" s="688"/>
      <c r="AY22" s="689"/>
      <c r="AZ22" s="689"/>
      <c r="BA22" s="689"/>
      <c r="BB22" s="689"/>
      <c r="BC22" s="689"/>
    </row>
    <row r="23" spans="2:55" s="635" customFormat="1" ht="24" customHeight="1" thickBot="1">
      <c r="B23" s="959"/>
      <c r="C23" s="960"/>
      <c r="D23" s="960"/>
      <c r="E23" s="960"/>
      <c r="F23" s="960"/>
      <c r="G23" s="960"/>
      <c r="H23" s="960"/>
      <c r="I23" s="960"/>
      <c r="J23" s="960"/>
      <c r="K23" s="960"/>
      <c r="L23" s="960"/>
      <c r="M23" s="960"/>
      <c r="N23" s="960"/>
      <c r="O23" s="961"/>
      <c r="P23" s="962"/>
      <c r="Q23" s="960"/>
      <c r="R23" s="960"/>
      <c r="S23" s="960"/>
      <c r="T23" s="963"/>
      <c r="AK23" s="689"/>
      <c r="AL23" s="689"/>
      <c r="AM23" s="689"/>
      <c r="AN23" s="689"/>
      <c r="AO23" s="689"/>
      <c r="AP23" s="689"/>
      <c r="AQ23" s="689"/>
      <c r="AR23" s="689"/>
      <c r="AS23" s="689"/>
      <c r="AT23" s="689"/>
      <c r="AU23" s="689"/>
      <c r="AV23" s="688"/>
      <c r="AW23" s="688"/>
      <c r="AX23" s="688"/>
      <c r="AY23" s="689"/>
      <c r="AZ23" s="689"/>
      <c r="BA23" s="689"/>
      <c r="BB23" s="689"/>
      <c r="BC23" s="689"/>
    </row>
    <row r="24" spans="2:55" s="635" customFormat="1" ht="19.5" customHeight="1">
      <c r="B24" s="695" t="s">
        <v>19</v>
      </c>
      <c r="C24" s="695"/>
      <c r="D24" s="695"/>
      <c r="E24" s="695"/>
      <c r="F24" s="695"/>
      <c r="G24" s="695"/>
      <c r="H24" s="695"/>
      <c r="I24" s="695"/>
      <c r="J24" s="696"/>
      <c r="K24" s="696"/>
      <c r="L24" s="696"/>
      <c r="M24" s="696"/>
      <c r="N24" s="696"/>
      <c r="O24" s="695"/>
      <c r="P24" s="695"/>
      <c r="Q24" s="695"/>
      <c r="R24" s="695"/>
      <c r="S24" s="695"/>
      <c r="T24" s="695"/>
      <c r="U24" s="695"/>
      <c r="V24" s="688"/>
      <c r="W24" s="688"/>
      <c r="X24" s="689"/>
      <c r="AK24" s="689"/>
      <c r="AL24" s="689"/>
      <c r="AM24" s="689"/>
      <c r="AN24" s="689"/>
      <c r="AO24" s="689"/>
      <c r="AP24" s="689"/>
      <c r="AQ24" s="689"/>
      <c r="AR24" s="689"/>
      <c r="AS24" s="689"/>
      <c r="AT24" s="689"/>
      <c r="AU24" s="689"/>
      <c r="AV24" s="688"/>
      <c r="AW24" s="688"/>
      <c r="AX24" s="688"/>
      <c r="AY24" s="689"/>
      <c r="AZ24" s="689"/>
      <c r="BA24" s="689"/>
      <c r="BB24" s="689"/>
      <c r="BC24" s="689"/>
    </row>
    <row r="25" spans="2:55" s="635" customFormat="1" ht="19.5" customHeight="1">
      <c r="B25" s="695" t="s">
        <v>746</v>
      </c>
      <c r="C25" s="697"/>
      <c r="D25" s="697"/>
      <c r="E25" s="697"/>
      <c r="F25" s="697"/>
      <c r="G25" s="697"/>
      <c r="H25" s="697"/>
      <c r="I25" s="695"/>
      <c r="J25" s="695"/>
      <c r="K25" s="695"/>
      <c r="L25" s="695"/>
      <c r="M25" s="695"/>
      <c r="N25" s="695"/>
      <c r="O25" s="695"/>
      <c r="P25" s="695"/>
      <c r="Q25" s="695"/>
      <c r="R25" s="696"/>
      <c r="S25" s="696"/>
      <c r="T25" s="696"/>
      <c r="U25" s="696"/>
      <c r="V25" s="689"/>
      <c r="W25" s="688"/>
      <c r="X25" s="689"/>
      <c r="AK25" s="689"/>
      <c r="AL25" s="689"/>
      <c r="AM25" s="689"/>
      <c r="AN25" s="689"/>
      <c r="AO25" s="689"/>
      <c r="AP25" s="689"/>
      <c r="AQ25" s="689"/>
      <c r="AR25" s="689"/>
      <c r="AS25" s="689"/>
      <c r="AT25" s="689"/>
      <c r="AU25" s="689"/>
      <c r="AV25" s="688"/>
      <c r="AW25" s="688"/>
      <c r="AX25" s="688"/>
      <c r="AY25" s="689"/>
      <c r="AZ25" s="689"/>
      <c r="BA25" s="689"/>
      <c r="BB25" s="689"/>
      <c r="BC25" s="689"/>
    </row>
    <row r="26" spans="2:55" s="635" customFormat="1" ht="19.5" customHeight="1">
      <c r="B26" s="695" t="s">
        <v>747</v>
      </c>
      <c r="C26" s="697"/>
      <c r="D26" s="697"/>
      <c r="E26" s="697"/>
      <c r="F26" s="697"/>
      <c r="G26" s="697"/>
      <c r="H26" s="697"/>
      <c r="I26" s="695"/>
      <c r="J26" s="695"/>
      <c r="K26" s="695"/>
      <c r="L26" s="695"/>
      <c r="M26" s="695"/>
      <c r="N26" s="695"/>
      <c r="O26" s="695"/>
      <c r="P26" s="695"/>
      <c r="Q26" s="695"/>
      <c r="R26" s="696"/>
      <c r="S26" s="696"/>
      <c r="T26" s="696"/>
      <c r="U26" s="696"/>
      <c r="V26" s="689"/>
      <c r="Z26" s="689"/>
      <c r="AK26" s="689"/>
      <c r="AL26" s="689"/>
      <c r="AM26" s="689"/>
      <c r="AN26" s="689"/>
      <c r="AO26" s="689"/>
      <c r="AP26" s="689"/>
      <c r="AQ26" s="689"/>
      <c r="AR26" s="689"/>
      <c r="AS26" s="689"/>
      <c r="AT26" s="689"/>
      <c r="AU26" s="689"/>
      <c r="AV26" s="688"/>
      <c r="AW26" s="688"/>
      <c r="AX26" s="688"/>
      <c r="AY26" s="689"/>
      <c r="AZ26" s="689"/>
      <c r="BA26" s="689"/>
      <c r="BB26" s="689"/>
      <c r="BC26" s="689"/>
    </row>
    <row r="27" spans="2:55" s="635" customFormat="1" ht="19.5" customHeight="1">
      <c r="B27" s="695" t="s">
        <v>748</v>
      </c>
      <c r="C27" s="697"/>
      <c r="D27" s="697"/>
      <c r="E27" s="697"/>
      <c r="F27" s="697"/>
      <c r="G27" s="697"/>
      <c r="H27" s="697"/>
      <c r="I27" s="695"/>
      <c r="J27" s="695"/>
      <c r="K27" s="695"/>
      <c r="L27" s="695"/>
      <c r="M27" s="695"/>
      <c r="N27" s="695"/>
      <c r="O27" s="695"/>
      <c r="P27" s="695"/>
      <c r="Q27" s="695"/>
      <c r="R27" s="696"/>
      <c r="S27" s="696"/>
      <c r="T27" s="696"/>
      <c r="U27" s="696"/>
      <c r="V27" s="689"/>
      <c r="Z27" s="689"/>
      <c r="AK27" s="689"/>
      <c r="AL27" s="689"/>
      <c r="AM27" s="689"/>
      <c r="AN27" s="689"/>
      <c r="AO27" s="689"/>
      <c r="AP27" s="689"/>
      <c r="AQ27" s="689"/>
      <c r="AR27" s="689"/>
      <c r="AS27" s="689"/>
      <c r="AT27" s="689"/>
      <c r="AU27" s="689"/>
      <c r="AV27" s="688"/>
      <c r="AW27" s="688"/>
      <c r="AX27" s="688"/>
      <c r="AY27" s="689"/>
      <c r="AZ27" s="689"/>
      <c r="BA27" s="689"/>
      <c r="BB27" s="689"/>
      <c r="BC27" s="689"/>
    </row>
    <row r="28" spans="2:21" ht="21">
      <c r="B28" s="698"/>
      <c r="C28" s="698"/>
      <c r="D28" s="698"/>
      <c r="E28" s="698"/>
      <c r="F28" s="698"/>
      <c r="G28" s="698"/>
      <c r="H28" s="698"/>
      <c r="I28" s="698"/>
      <c r="J28" s="698"/>
      <c r="K28" s="698"/>
      <c r="L28" s="698"/>
      <c r="M28" s="698"/>
      <c r="N28" s="698"/>
      <c r="O28" s="698"/>
      <c r="P28" s="698"/>
      <c r="Q28" s="698"/>
      <c r="R28" s="698"/>
      <c r="S28" s="698"/>
      <c r="T28" s="698"/>
      <c r="U28" s="698"/>
    </row>
    <row r="29" spans="2:21" ht="21">
      <c r="B29" s="698"/>
      <c r="C29" s="698"/>
      <c r="D29" s="698"/>
      <c r="E29" s="698"/>
      <c r="F29" s="698"/>
      <c r="G29" s="698"/>
      <c r="H29" s="698"/>
      <c r="I29" s="698"/>
      <c r="J29" s="698"/>
      <c r="K29" s="698"/>
      <c r="L29" s="698"/>
      <c r="M29" s="698"/>
      <c r="N29" s="698"/>
      <c r="O29" s="698"/>
      <c r="P29" s="698"/>
      <c r="Q29" s="698"/>
      <c r="R29" s="698"/>
      <c r="S29" s="698"/>
      <c r="T29" s="698"/>
      <c r="U29" s="698"/>
    </row>
  </sheetData>
  <sheetProtection/>
  <mergeCells count="44">
    <mergeCell ref="B23:O23"/>
    <mergeCell ref="P23:T23"/>
    <mergeCell ref="B20:O20"/>
    <mergeCell ref="P20:T20"/>
    <mergeCell ref="B21:O21"/>
    <mergeCell ref="P21:T21"/>
    <mergeCell ref="B22:O22"/>
    <mergeCell ref="P22:T22"/>
    <mergeCell ref="B17:O17"/>
    <mergeCell ref="P17:T17"/>
    <mergeCell ref="B18:O18"/>
    <mergeCell ref="P18:T18"/>
    <mergeCell ref="B19:O19"/>
    <mergeCell ref="P19:T19"/>
    <mergeCell ref="B14:O14"/>
    <mergeCell ref="P14:T14"/>
    <mergeCell ref="B15:O15"/>
    <mergeCell ref="P15:T15"/>
    <mergeCell ref="B16:O16"/>
    <mergeCell ref="P16:T16"/>
    <mergeCell ref="B11:O11"/>
    <mergeCell ref="P11:T11"/>
    <mergeCell ref="B12:O12"/>
    <mergeCell ref="P12:T12"/>
    <mergeCell ref="B13:O13"/>
    <mergeCell ref="P13:T13"/>
    <mergeCell ref="B9:O9"/>
    <mergeCell ref="P9:T9"/>
    <mergeCell ref="B10:O10"/>
    <mergeCell ref="P10:T10"/>
    <mergeCell ref="AK10:AX10"/>
    <mergeCell ref="AY10:BC10"/>
    <mergeCell ref="B6:O6"/>
    <mergeCell ref="P6:T6"/>
    <mergeCell ref="B7:O7"/>
    <mergeCell ref="P7:T7"/>
    <mergeCell ref="B8:O8"/>
    <mergeCell ref="P8:T8"/>
    <mergeCell ref="B3:O3"/>
    <mergeCell ref="P3:T3"/>
    <mergeCell ref="B4:O4"/>
    <mergeCell ref="P4:T4"/>
    <mergeCell ref="B5:O5"/>
    <mergeCell ref="P5:T5"/>
  </mergeCells>
  <printOptions/>
  <pageMargins left="0.7" right="0.7" top="0.75" bottom="0.75" header="0.3" footer="0.3"/>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D24"/>
  <sheetViews>
    <sheetView zoomScale="70" zoomScaleNormal="70" zoomScalePageLayoutView="0" workbookViewId="0" topLeftCell="A1">
      <selection activeCell="F11" sqref="F11"/>
    </sheetView>
  </sheetViews>
  <sheetFormatPr defaultColWidth="9.00390625" defaultRowHeight="35.25" customHeight="1"/>
  <cols>
    <col min="1" max="1" width="34.00390625" style="25" customWidth="1"/>
    <col min="2" max="2" width="32.875" style="25" customWidth="1"/>
    <col min="3" max="3" width="12.00390625" style="25" customWidth="1"/>
    <col min="4" max="16384" width="9.00390625" style="25" customWidth="1"/>
  </cols>
  <sheetData>
    <row r="1" spans="1:4" ht="35.25" customHeight="1">
      <c r="A1" s="983" t="s">
        <v>320</v>
      </c>
      <c r="B1" s="983"/>
      <c r="C1" s="983"/>
      <c r="D1" s="983"/>
    </row>
    <row r="2" spans="1:4" ht="30" customHeight="1">
      <c r="A2" s="968" t="s">
        <v>322</v>
      </c>
      <c r="B2" s="969"/>
      <c r="C2" s="970" t="s">
        <v>645</v>
      </c>
      <c r="D2" s="971"/>
    </row>
    <row r="3" spans="1:4" ht="35.25" customHeight="1">
      <c r="A3" s="978" t="s">
        <v>318</v>
      </c>
      <c r="B3" s="979"/>
      <c r="C3" s="974"/>
      <c r="D3" s="975"/>
    </row>
    <row r="4" spans="1:4" ht="35.25" customHeight="1">
      <c r="A4" s="964" t="s">
        <v>318</v>
      </c>
      <c r="B4" s="965"/>
      <c r="C4" s="972"/>
      <c r="D4" s="973"/>
    </row>
    <row r="5" spans="1:4" ht="35.25" customHeight="1">
      <c r="A5" s="964" t="s">
        <v>318</v>
      </c>
      <c r="B5" s="965"/>
      <c r="C5" s="972"/>
      <c r="D5" s="973"/>
    </row>
    <row r="6" spans="1:4" ht="35.25" customHeight="1">
      <c r="A6" s="964" t="s">
        <v>318</v>
      </c>
      <c r="B6" s="965"/>
      <c r="C6" s="972"/>
      <c r="D6" s="973"/>
    </row>
    <row r="7" spans="1:4" ht="35.25" customHeight="1">
      <c r="A7" s="964" t="s">
        <v>318</v>
      </c>
      <c r="B7" s="965"/>
      <c r="C7" s="972"/>
      <c r="D7" s="973"/>
    </row>
    <row r="8" spans="1:4" ht="35.25" customHeight="1">
      <c r="A8" s="964" t="s">
        <v>318</v>
      </c>
      <c r="B8" s="965"/>
      <c r="C8" s="972"/>
      <c r="D8" s="973"/>
    </row>
    <row r="9" spans="1:4" ht="35.25" customHeight="1">
      <c r="A9" s="964" t="s">
        <v>318</v>
      </c>
      <c r="B9" s="965"/>
      <c r="C9" s="972"/>
      <c r="D9" s="973"/>
    </row>
    <row r="10" spans="1:4" ht="35.25" customHeight="1">
      <c r="A10" s="964" t="s">
        <v>318</v>
      </c>
      <c r="B10" s="965"/>
      <c r="C10" s="972"/>
      <c r="D10" s="973"/>
    </row>
    <row r="11" spans="1:4" ht="35.25" customHeight="1">
      <c r="A11" s="964" t="s">
        <v>318</v>
      </c>
      <c r="B11" s="965"/>
      <c r="C11" s="972"/>
      <c r="D11" s="973"/>
    </row>
    <row r="12" spans="1:4" ht="35.25" customHeight="1">
      <c r="A12" s="964" t="s">
        <v>318</v>
      </c>
      <c r="B12" s="965"/>
      <c r="C12" s="972"/>
      <c r="D12" s="973"/>
    </row>
    <row r="13" spans="1:4" ht="35.25" customHeight="1">
      <c r="A13" s="964" t="s">
        <v>318</v>
      </c>
      <c r="B13" s="965"/>
      <c r="C13" s="972"/>
      <c r="D13" s="973"/>
    </row>
    <row r="14" spans="1:4" ht="35.25" customHeight="1">
      <c r="A14" s="964" t="s">
        <v>318</v>
      </c>
      <c r="B14" s="965"/>
      <c r="C14" s="972"/>
      <c r="D14" s="973"/>
    </row>
    <row r="15" spans="1:4" ht="35.25" customHeight="1">
      <c r="A15" s="964" t="s">
        <v>318</v>
      </c>
      <c r="B15" s="965"/>
      <c r="C15" s="972"/>
      <c r="D15" s="973"/>
    </row>
    <row r="16" spans="1:4" ht="35.25" customHeight="1">
      <c r="A16" s="964" t="s">
        <v>318</v>
      </c>
      <c r="B16" s="965"/>
      <c r="C16" s="972"/>
      <c r="D16" s="973"/>
    </row>
    <row r="17" spans="1:4" ht="35.25" customHeight="1">
      <c r="A17" s="964" t="s">
        <v>318</v>
      </c>
      <c r="B17" s="965"/>
      <c r="C17" s="972"/>
      <c r="D17" s="973"/>
    </row>
    <row r="18" spans="1:4" ht="35.25" customHeight="1">
      <c r="A18" s="964" t="s">
        <v>318</v>
      </c>
      <c r="B18" s="965"/>
      <c r="C18" s="972"/>
      <c r="D18" s="973"/>
    </row>
    <row r="19" spans="1:4" ht="35.25" customHeight="1">
      <c r="A19" s="964" t="s">
        <v>318</v>
      </c>
      <c r="B19" s="965"/>
      <c r="C19" s="972"/>
      <c r="D19" s="973"/>
    </row>
    <row r="20" spans="1:4" ht="35.25" customHeight="1">
      <c r="A20" s="964" t="s">
        <v>318</v>
      </c>
      <c r="B20" s="965"/>
      <c r="C20" s="972"/>
      <c r="D20" s="973"/>
    </row>
    <row r="21" spans="1:4" ht="35.25" customHeight="1">
      <c r="A21" s="964" t="s">
        <v>318</v>
      </c>
      <c r="B21" s="965"/>
      <c r="C21" s="972"/>
      <c r="D21" s="973"/>
    </row>
    <row r="22" spans="1:4" ht="35.25" customHeight="1">
      <c r="A22" s="966" t="s">
        <v>318</v>
      </c>
      <c r="B22" s="967"/>
      <c r="C22" s="976"/>
      <c r="D22" s="977"/>
    </row>
    <row r="23" ht="17.25" customHeight="1"/>
    <row r="24" spans="1:4" ht="35.25" customHeight="1">
      <c r="A24" s="478" t="s">
        <v>319</v>
      </c>
      <c r="B24" s="980" t="s">
        <v>321</v>
      </c>
      <c r="C24" s="981"/>
      <c r="D24" s="982"/>
    </row>
  </sheetData>
  <sheetProtection/>
  <mergeCells count="44">
    <mergeCell ref="B24:D24"/>
    <mergeCell ref="A1:D1"/>
    <mergeCell ref="A10:B10"/>
    <mergeCell ref="A11:B11"/>
    <mergeCell ref="A12:B12"/>
    <mergeCell ref="C10:D10"/>
    <mergeCell ref="C11:D11"/>
    <mergeCell ref="C12:D12"/>
    <mergeCell ref="C18:D18"/>
    <mergeCell ref="C19:D19"/>
    <mergeCell ref="C20:D20"/>
    <mergeCell ref="C21:D21"/>
    <mergeCell ref="C22:D22"/>
    <mergeCell ref="A3:B3"/>
    <mergeCell ref="A4:B4"/>
    <mergeCell ref="A5:B5"/>
    <mergeCell ref="A6:B6"/>
    <mergeCell ref="A7:B7"/>
    <mergeCell ref="C9:D9"/>
    <mergeCell ref="C13:D13"/>
    <mergeCell ref="C15:D15"/>
    <mergeCell ref="C16:D16"/>
    <mergeCell ref="C17:D17"/>
    <mergeCell ref="C3:D3"/>
    <mergeCell ref="C4:D4"/>
    <mergeCell ref="C5:D5"/>
    <mergeCell ref="C6:D6"/>
    <mergeCell ref="C7:D7"/>
    <mergeCell ref="C8:D8"/>
    <mergeCell ref="A2:B2"/>
    <mergeCell ref="C2:D2"/>
    <mergeCell ref="A8:B8"/>
    <mergeCell ref="A9:B9"/>
    <mergeCell ref="A13:B13"/>
    <mergeCell ref="A14:B14"/>
    <mergeCell ref="C14:D14"/>
    <mergeCell ref="A20:B20"/>
    <mergeCell ref="A21:B21"/>
    <mergeCell ref="A22:B22"/>
    <mergeCell ref="A15:B15"/>
    <mergeCell ref="A16:B16"/>
    <mergeCell ref="A17:B17"/>
    <mergeCell ref="A18:B18"/>
    <mergeCell ref="A19:B19"/>
  </mergeCells>
  <printOptions/>
  <pageMargins left="1.09" right="0.7" top="0.75" bottom="0.75" header="0.3" footer="0.3"/>
  <pageSetup fitToHeight="1" fitToWidth="1"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rgb="FFFFFF00"/>
  </sheetPr>
  <dimension ref="A2:V32"/>
  <sheetViews>
    <sheetView zoomScalePageLayoutView="0" workbookViewId="0" topLeftCell="A1">
      <selection activeCell="Q15" sqref="Q15"/>
    </sheetView>
  </sheetViews>
  <sheetFormatPr defaultColWidth="3.625" defaultRowHeight="13.5"/>
  <cols>
    <col min="1" max="15" width="3.625" style="1" customWidth="1"/>
    <col min="16" max="16" width="3.50390625" style="1" customWidth="1"/>
    <col min="17" max="16384" width="3.625" style="1" customWidth="1"/>
  </cols>
  <sheetData>
    <row r="2" spans="1:22" ht="15.75">
      <c r="A2" s="990" t="s">
        <v>116</v>
      </c>
      <c r="B2" s="990"/>
      <c r="C2" s="990"/>
      <c r="D2" s="990"/>
      <c r="E2" s="990"/>
      <c r="F2" s="990"/>
      <c r="G2" s="990"/>
      <c r="H2" s="990"/>
      <c r="I2" s="990"/>
      <c r="J2" s="990"/>
      <c r="K2" s="990"/>
      <c r="L2" s="990"/>
      <c r="M2" s="990"/>
      <c r="N2" s="990"/>
      <c r="O2" s="990"/>
      <c r="P2" s="990"/>
      <c r="Q2" s="990"/>
      <c r="R2" s="990"/>
      <c r="S2" s="990"/>
      <c r="T2" s="990"/>
      <c r="U2" s="990"/>
      <c r="V2" s="990"/>
    </row>
    <row r="5" spans="1:22" ht="12.75">
      <c r="A5" s="991" t="s">
        <v>117</v>
      </c>
      <c r="B5" s="991"/>
      <c r="C5" s="991"/>
      <c r="D5" s="991"/>
      <c r="E5" s="991"/>
      <c r="F5" s="991"/>
      <c r="G5" s="991"/>
      <c r="H5" s="991"/>
      <c r="I5" s="991"/>
      <c r="J5" s="991"/>
      <c r="K5" s="991"/>
      <c r="L5" s="991"/>
      <c r="M5" s="991"/>
      <c r="N5" s="991"/>
      <c r="O5" s="991"/>
      <c r="P5" s="991"/>
      <c r="Q5" s="991"/>
      <c r="R5" s="991"/>
      <c r="S5" s="991"/>
      <c r="T5" s="991"/>
      <c r="U5" s="991"/>
      <c r="V5" s="991"/>
    </row>
    <row r="17" spans="4:19" ht="12.75">
      <c r="D17"/>
      <c r="E17"/>
      <c r="F17"/>
      <c r="G17"/>
      <c r="H17"/>
      <c r="I17"/>
      <c r="J17"/>
      <c r="K17"/>
      <c r="L17"/>
      <c r="M17"/>
      <c r="N17"/>
      <c r="O17"/>
      <c r="P17"/>
      <c r="Q17"/>
      <c r="R17"/>
      <c r="S17"/>
    </row>
    <row r="18" spans="4:19" ht="12.75">
      <c r="D18"/>
      <c r="E18"/>
      <c r="F18"/>
      <c r="G18"/>
      <c r="H18"/>
      <c r="I18"/>
      <c r="J18"/>
      <c r="K18"/>
      <c r="L18"/>
      <c r="M18"/>
      <c r="N18"/>
      <c r="O18"/>
      <c r="P18"/>
      <c r="Q18"/>
      <c r="R18"/>
      <c r="S18"/>
    </row>
    <row r="19" spans="4:19" ht="12.75">
      <c r="D19"/>
      <c r="E19"/>
      <c r="F19"/>
      <c r="G19"/>
      <c r="H19"/>
      <c r="I19"/>
      <c r="J19"/>
      <c r="K19"/>
      <c r="L19"/>
      <c r="M19"/>
      <c r="N19"/>
      <c r="O19"/>
      <c r="P19"/>
      <c r="Q19"/>
      <c r="R19"/>
      <c r="S19"/>
    </row>
    <row r="20" spans="4:19" ht="12.75">
      <c r="D20"/>
      <c r="E20"/>
      <c r="F20"/>
      <c r="G20"/>
      <c r="H20"/>
      <c r="I20"/>
      <c r="J20"/>
      <c r="K20"/>
      <c r="L20"/>
      <c r="M20"/>
      <c r="N20"/>
      <c r="O20"/>
      <c r="P20"/>
      <c r="Q20"/>
      <c r="R20"/>
      <c r="S20"/>
    </row>
    <row r="21" spans="4:19" ht="12.75">
      <c r="D21"/>
      <c r="E21"/>
      <c r="F21"/>
      <c r="G21"/>
      <c r="H21"/>
      <c r="I21"/>
      <c r="J21"/>
      <c r="K21"/>
      <c r="L21"/>
      <c r="M21"/>
      <c r="N21"/>
      <c r="O21"/>
      <c r="P21"/>
      <c r="Q21"/>
      <c r="R21"/>
      <c r="S21"/>
    </row>
    <row r="22" spans="4:19" ht="12.75">
      <c r="D22"/>
      <c r="E22"/>
      <c r="F22"/>
      <c r="G22"/>
      <c r="H22"/>
      <c r="I22"/>
      <c r="J22"/>
      <c r="K22"/>
      <c r="L22"/>
      <c r="M22"/>
      <c r="N22"/>
      <c r="O22"/>
      <c r="P22"/>
      <c r="Q22"/>
      <c r="R22"/>
      <c r="S22"/>
    </row>
    <row r="23" spans="4:19" ht="12.75">
      <c r="D23"/>
      <c r="E23"/>
      <c r="F23"/>
      <c r="G23"/>
      <c r="H23"/>
      <c r="I23"/>
      <c r="J23"/>
      <c r="K23"/>
      <c r="L23"/>
      <c r="M23"/>
      <c r="N23"/>
      <c r="O23"/>
      <c r="P23"/>
      <c r="Q23"/>
      <c r="R23"/>
      <c r="S23"/>
    </row>
    <row r="24" spans="4:19" ht="12.75">
      <c r="D24" s="324"/>
      <c r="E24" s="325"/>
      <c r="F24" s="325"/>
      <c r="G24" s="325"/>
      <c r="H24" s="331"/>
      <c r="I24" s="326"/>
      <c r="J24" s="326"/>
      <c r="K24" s="326"/>
      <c r="L24" s="326"/>
      <c r="M24" s="326"/>
      <c r="N24" s="326"/>
      <c r="O24" s="326"/>
      <c r="P24" s="326"/>
      <c r="Q24" s="326"/>
      <c r="R24" s="326"/>
      <c r="S24" s="327"/>
    </row>
    <row r="25" spans="4:19" ht="15.75">
      <c r="D25" s="985" t="s">
        <v>118</v>
      </c>
      <c r="E25" s="992"/>
      <c r="F25" s="992"/>
      <c r="G25" s="992"/>
      <c r="H25" s="332"/>
      <c r="I25" s="993"/>
      <c r="J25" s="993"/>
      <c r="K25" s="993"/>
      <c r="L25" s="993"/>
      <c r="M25" s="993"/>
      <c r="N25" s="993"/>
      <c r="O25" s="993"/>
      <c r="P25" s="993"/>
      <c r="Q25" s="993"/>
      <c r="R25" s="993"/>
      <c r="S25" s="3"/>
    </row>
    <row r="26" spans="4:19" ht="12.75">
      <c r="D26" s="338"/>
      <c r="E26" s="339"/>
      <c r="F26" s="339"/>
      <c r="G26" s="339"/>
      <c r="H26" s="336"/>
      <c r="I26" s="335"/>
      <c r="J26" s="335"/>
      <c r="K26" s="335"/>
      <c r="L26" s="335"/>
      <c r="M26" s="335"/>
      <c r="N26" s="335"/>
      <c r="O26" s="994" t="s">
        <v>119</v>
      </c>
      <c r="P26" s="994"/>
      <c r="Q26" s="335"/>
      <c r="R26" s="335" t="s">
        <v>2</v>
      </c>
      <c r="S26" s="340"/>
    </row>
    <row r="27" spans="4:19" ht="12.75">
      <c r="D27" s="328"/>
      <c r="E27" s="13"/>
      <c r="F27" s="13"/>
      <c r="G27" s="13"/>
      <c r="H27" s="333"/>
      <c r="I27" s="2"/>
      <c r="J27" s="2"/>
      <c r="K27" s="2"/>
      <c r="L27" s="2"/>
      <c r="M27" s="2"/>
      <c r="N27" s="2"/>
      <c r="O27" s="2"/>
      <c r="P27" s="2"/>
      <c r="Q27" s="2"/>
      <c r="R27" s="2"/>
      <c r="S27" s="3"/>
    </row>
    <row r="28" spans="4:19" ht="12.75">
      <c r="D28" s="985" t="s">
        <v>120</v>
      </c>
      <c r="E28" s="986"/>
      <c r="F28" s="986"/>
      <c r="G28" s="986"/>
      <c r="H28" s="333"/>
      <c r="I28" s="988"/>
      <c r="J28" s="988"/>
      <c r="K28" s="988"/>
      <c r="L28" s="988"/>
      <c r="M28" s="988"/>
      <c r="N28" s="988"/>
      <c r="O28" s="988"/>
      <c r="P28" s="988"/>
      <c r="Q28" s="988"/>
      <c r="R28" s="988"/>
      <c r="S28" s="3"/>
    </row>
    <row r="29" spans="4:19" ht="12.75">
      <c r="D29" s="338"/>
      <c r="E29" s="339"/>
      <c r="F29" s="339"/>
      <c r="G29" s="339"/>
      <c r="H29" s="336"/>
      <c r="I29" s="989"/>
      <c r="J29" s="989"/>
      <c r="K29" s="989"/>
      <c r="L29" s="989"/>
      <c r="M29" s="989"/>
      <c r="N29" s="989"/>
      <c r="O29" s="989"/>
      <c r="P29" s="989"/>
      <c r="Q29" s="989"/>
      <c r="R29" s="989"/>
      <c r="S29" s="340"/>
    </row>
    <row r="30" spans="4:19" ht="12.75">
      <c r="D30" s="328"/>
      <c r="E30" s="13"/>
      <c r="F30" s="13"/>
      <c r="G30" s="13"/>
      <c r="H30" s="333"/>
      <c r="I30" s="2"/>
      <c r="J30" s="2"/>
      <c r="K30" s="2"/>
      <c r="L30" s="2"/>
      <c r="M30" s="2"/>
      <c r="N30" s="14"/>
      <c r="O30" s="14"/>
      <c r="P30" s="15"/>
      <c r="Q30" s="987"/>
      <c r="R30" s="987"/>
      <c r="S30" s="3"/>
    </row>
    <row r="31" spans="4:19" ht="14.25" customHeight="1">
      <c r="D31" s="985" t="s">
        <v>121</v>
      </c>
      <c r="E31" s="986"/>
      <c r="F31" s="986"/>
      <c r="G31" s="986"/>
      <c r="H31" s="712"/>
      <c r="I31" s="984"/>
      <c r="J31" s="984"/>
      <c r="K31" s="984"/>
      <c r="L31" s="984"/>
      <c r="M31" s="984"/>
      <c r="N31" s="984"/>
      <c r="O31" s="984"/>
      <c r="P31" s="984"/>
      <c r="Q31" s="984"/>
      <c r="R31" s="984"/>
      <c r="S31" s="329"/>
    </row>
    <row r="32" spans="4:19" ht="12.75">
      <c r="D32" s="22"/>
      <c r="E32" s="330"/>
      <c r="F32" s="330"/>
      <c r="G32" s="330"/>
      <c r="H32" s="334"/>
      <c r="I32" s="4"/>
      <c r="J32" s="4"/>
      <c r="K32" s="4"/>
      <c r="L32" s="4"/>
      <c r="M32" s="4"/>
      <c r="N32" s="4"/>
      <c r="O32" s="23"/>
      <c r="P32" s="23"/>
      <c r="Q32" s="23"/>
      <c r="R32" s="23"/>
      <c r="S32" s="24"/>
    </row>
  </sheetData>
  <sheetProtection/>
  <mergeCells count="10">
    <mergeCell ref="I31:R31"/>
    <mergeCell ref="D28:G28"/>
    <mergeCell ref="Q30:R30"/>
    <mergeCell ref="I28:R29"/>
    <mergeCell ref="A2:V2"/>
    <mergeCell ref="A5:V5"/>
    <mergeCell ref="D25:G25"/>
    <mergeCell ref="I25:R25"/>
    <mergeCell ref="D31:G31"/>
    <mergeCell ref="O26:P26"/>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indexed="10"/>
    <pageSetUpPr fitToPage="1"/>
  </sheetPr>
  <dimension ref="A1:AO44"/>
  <sheetViews>
    <sheetView showGridLines="0" zoomScale="80" zoomScaleNormal="80" zoomScalePageLayoutView="0" workbookViewId="0" topLeftCell="A1">
      <selection activeCell="AB11" sqref="AB11:AC11"/>
    </sheetView>
  </sheetViews>
  <sheetFormatPr defaultColWidth="4.25390625" defaultRowHeight="15" customHeight="1"/>
  <cols>
    <col min="1" max="1" width="4.25390625" style="16" customWidth="1"/>
    <col min="2" max="3" width="12.75390625" style="16" customWidth="1"/>
    <col min="4" max="4" width="4.25390625" style="16" customWidth="1"/>
    <col min="5" max="5" width="3.625" style="16" customWidth="1"/>
    <col min="6" max="6" width="4.25390625" style="16" customWidth="1"/>
    <col min="7" max="7" width="12.75390625" style="16" customWidth="1"/>
    <col min="8" max="8" width="13.125" style="16" customWidth="1"/>
    <col min="9" max="9" width="3.125" style="16" customWidth="1"/>
    <col min="10" max="10" width="12.50390625" style="16" customWidth="1"/>
    <col min="11" max="11" width="3.125" style="16" customWidth="1"/>
    <col min="12" max="12" width="12.00390625" style="16" customWidth="1"/>
    <col min="13" max="13" width="3.125" style="16" customWidth="1"/>
    <col min="14" max="14" width="13.375" style="16" customWidth="1"/>
    <col min="15" max="15" width="3.125" style="16" customWidth="1"/>
    <col min="16" max="16" width="13.50390625" style="16" customWidth="1"/>
    <col min="17" max="17" width="3.125" style="16" customWidth="1"/>
    <col min="18" max="18" width="12.50390625" style="16" customWidth="1"/>
    <col min="19" max="19" width="3.125" style="16" customWidth="1"/>
    <col min="20" max="20" width="4.25390625" style="16" customWidth="1"/>
    <col min="21" max="21" width="8.50390625" style="16" customWidth="1"/>
    <col min="22" max="22" width="4.25390625" style="16" customWidth="1"/>
    <col min="23" max="23" width="12.75390625" style="16" customWidth="1"/>
    <col min="24" max="24" width="14.00390625" style="16" customWidth="1"/>
    <col min="25" max="25" width="1.25" style="16" customWidth="1"/>
    <col min="26" max="26" width="2.75390625" style="16" customWidth="1"/>
    <col min="27" max="27" width="14.75390625" style="16" customWidth="1"/>
    <col min="28" max="28" width="1.25" style="16" customWidth="1"/>
    <col min="29" max="29" width="3.125" style="16" customWidth="1"/>
    <col min="30" max="30" width="14.625" style="16" customWidth="1"/>
    <col min="31" max="31" width="1.4921875" style="16" customWidth="1"/>
    <col min="32" max="32" width="2.625" style="16" customWidth="1"/>
    <col min="33" max="33" width="14.875" style="16" customWidth="1"/>
    <col min="34" max="34" width="1.25" style="16" customWidth="1"/>
    <col min="35" max="35" width="2.625" style="16" customWidth="1"/>
    <col min="36" max="36" width="15.625" style="16" customWidth="1"/>
    <col min="37" max="37" width="1.00390625" style="16" customWidth="1"/>
    <col min="38" max="38" width="2.75390625" style="16" customWidth="1"/>
    <col min="39" max="39" width="13.625" style="16" customWidth="1"/>
    <col min="40" max="40" width="1.12109375" style="16" customWidth="1"/>
    <col min="41" max="41" width="2.625" style="16" customWidth="1"/>
    <col min="42" max="16384" width="4.25390625" style="16" customWidth="1"/>
  </cols>
  <sheetData>
    <row r="1" spans="1:41" s="26" customFormat="1" ht="24.75" customHeight="1">
      <c r="A1" s="996" t="s">
        <v>122</v>
      </c>
      <c r="B1" s="996"/>
      <c r="C1" s="996"/>
      <c r="D1" s="41"/>
      <c r="E1" s="997" t="s">
        <v>123</v>
      </c>
      <c r="F1" s="997"/>
      <c r="G1" s="1127">
        <f>'改善計画添付鏡(全体)'!I25</f>
        <v>0</v>
      </c>
      <c r="H1" s="1127"/>
      <c r="I1" s="1127"/>
      <c r="J1" s="40"/>
      <c r="K1" s="40"/>
      <c r="L1" s="40"/>
      <c r="M1" s="41"/>
      <c r="N1" s="41"/>
      <c r="O1" s="41"/>
      <c r="P1" s="41"/>
      <c r="Q1" s="41"/>
      <c r="R1" s="40"/>
      <c r="S1" s="40"/>
      <c r="V1" s="120" t="s">
        <v>629</v>
      </c>
      <c r="W1" s="121"/>
      <c r="X1" s="121"/>
      <c r="Y1" s="121"/>
      <c r="Z1" s="121"/>
      <c r="AA1" s="121"/>
      <c r="AB1" s="121"/>
      <c r="AC1" s="121"/>
      <c r="AD1" s="121"/>
      <c r="AE1" s="121"/>
      <c r="AF1" s="121"/>
      <c r="AG1" s="121"/>
      <c r="AH1" s="41"/>
      <c r="AI1" s="41"/>
      <c r="AJ1" s="41"/>
      <c r="AK1" s="41"/>
      <c r="AL1" s="41"/>
      <c r="AM1" s="41"/>
      <c r="AN1" s="41"/>
      <c r="AO1" s="41"/>
    </row>
    <row r="2" spans="1:41" ht="15" customHeight="1">
      <c r="A2" s="39"/>
      <c r="B2" s="57"/>
      <c r="C2" s="57"/>
      <c r="D2" s="57"/>
      <c r="E2" s="57"/>
      <c r="F2" s="57"/>
      <c r="G2" s="57"/>
      <c r="H2" s="57"/>
      <c r="I2" s="57"/>
      <c r="J2" s="592"/>
      <c r="K2" s="592"/>
      <c r="L2" s="592"/>
      <c r="M2" s="592"/>
      <c r="N2" s="592"/>
      <c r="O2" s="592"/>
      <c r="P2" s="64"/>
      <c r="Q2" s="592"/>
      <c r="R2" s="64"/>
      <c r="S2" s="592"/>
      <c r="V2" s="64"/>
      <c r="W2" s="64"/>
      <c r="X2" s="64"/>
      <c r="Y2" s="64"/>
      <c r="Z2" s="64"/>
      <c r="AA2" s="64"/>
      <c r="AB2" s="64"/>
      <c r="AC2" s="64"/>
      <c r="AD2" s="64"/>
      <c r="AE2" s="64"/>
      <c r="AF2" s="64"/>
      <c r="AG2" s="64"/>
      <c r="AH2" s="64"/>
      <c r="AI2" s="64"/>
      <c r="AJ2" s="64"/>
      <c r="AK2" s="64"/>
      <c r="AL2" s="64"/>
      <c r="AM2" s="64"/>
      <c r="AN2" s="64"/>
      <c r="AO2" s="64"/>
    </row>
    <row r="3" spans="2:41" ht="15" customHeight="1">
      <c r="B3" s="124"/>
      <c r="C3" s="122"/>
      <c r="D3" s="122"/>
      <c r="E3" s="64"/>
      <c r="G3" s="124"/>
      <c r="H3" s="124"/>
      <c r="I3" s="54"/>
      <c r="J3" s="54"/>
      <c r="K3" s="54"/>
      <c r="L3" s="54"/>
      <c r="M3" s="54"/>
      <c r="N3" s="54"/>
      <c r="O3" s="54"/>
      <c r="P3" s="54"/>
      <c r="Q3" s="54"/>
      <c r="R3" s="54"/>
      <c r="S3" s="54"/>
      <c r="T3" s="123"/>
      <c r="V3" s="54"/>
      <c r="W3" s="54"/>
      <c r="X3" s="54"/>
      <c r="Y3" s="54"/>
      <c r="Z3" s="54"/>
      <c r="AA3" s="54"/>
      <c r="AB3" s="54"/>
      <c r="AC3" s="54"/>
      <c r="AD3" s="54"/>
      <c r="AE3" s="54"/>
      <c r="AF3" s="54"/>
      <c r="AG3" s="54"/>
      <c r="AH3" s="54"/>
      <c r="AI3" s="54"/>
      <c r="AJ3" s="54"/>
      <c r="AK3" s="54"/>
      <c r="AL3" s="54"/>
      <c r="AM3" s="54"/>
      <c r="AN3" s="54"/>
      <c r="AO3" s="54"/>
    </row>
    <row r="4" spans="1:41" ht="15" customHeight="1">
      <c r="A4" s="124" t="s">
        <v>631</v>
      </c>
      <c r="B4" s="125"/>
      <c r="C4" s="39"/>
      <c r="D4" s="39"/>
      <c r="E4" s="39"/>
      <c r="F4" s="124" t="s">
        <v>124</v>
      </c>
      <c r="G4" s="125"/>
      <c r="H4" s="125"/>
      <c r="I4" s="39"/>
      <c r="J4" s="39"/>
      <c r="K4" s="39"/>
      <c r="L4" s="39"/>
      <c r="M4" s="39"/>
      <c r="N4" s="39"/>
      <c r="O4" s="39"/>
      <c r="P4" s="39"/>
      <c r="Q4" s="39"/>
      <c r="R4" s="39"/>
      <c r="S4" s="39"/>
      <c r="V4" s="39"/>
      <c r="W4" s="39"/>
      <c r="X4" s="350" t="e">
        <f>MATCH(X5,'経営指標(触らない)'!$D$1:$N$1,0)</f>
        <v>#N/A</v>
      </c>
      <c r="Y4" s="350"/>
      <c r="Z4" s="350"/>
      <c r="AA4" s="350" t="e">
        <f>MATCH(AA5,'経営指標(触らない)'!$D$1:$N$1,0)</f>
        <v>#N/A</v>
      </c>
      <c r="AB4" s="350"/>
      <c r="AC4" s="350"/>
      <c r="AD4" s="350" t="e">
        <f>MATCH(AD5,'経営指標(触らない)'!$D$1:$N$1,0)</f>
        <v>#N/A</v>
      </c>
      <c r="AE4" s="350"/>
      <c r="AF4" s="350"/>
      <c r="AG4" s="350" t="e">
        <f>MATCH(AG5,'経営指標(触らない)'!$D$1:$N$1,0)</f>
        <v>#N/A</v>
      </c>
      <c r="AH4" s="350"/>
      <c r="AI4" s="350"/>
      <c r="AJ4" s="350" t="e">
        <f>MATCH(AJ5,'経営指標(触らない)'!$D$1:$N$1,0)</f>
        <v>#N/A</v>
      </c>
      <c r="AK4" s="350"/>
      <c r="AL4" s="350"/>
      <c r="AM4" s="350" t="e">
        <f>MATCH(AM5,'経営指標(触らない)'!$D$1:$N$1,0)</f>
        <v>#N/A</v>
      </c>
      <c r="AN4" s="39"/>
      <c r="AO4" s="39"/>
    </row>
    <row r="5" spans="1:41" ht="15" customHeight="1">
      <c r="A5" s="998" t="s">
        <v>125</v>
      </c>
      <c r="B5" s="999"/>
      <c r="C5" s="999"/>
      <c r="D5" s="1000"/>
      <c r="E5" s="39"/>
      <c r="F5" s="1003" t="s">
        <v>126</v>
      </c>
      <c r="G5" s="1004"/>
      <c r="H5" s="1007">
        <f>X5</f>
        <v>0</v>
      </c>
      <c r="I5" s="1007"/>
      <c r="J5" s="1007">
        <f>IF(AA5="","",AA5)</f>
      </c>
      <c r="K5" s="1007"/>
      <c r="L5" s="1007">
        <f>IF(AD5="","",AD5)</f>
      </c>
      <c r="M5" s="1007"/>
      <c r="N5" s="1007">
        <f>IF(AG5="","",AG5)</f>
      </c>
      <c r="O5" s="1007"/>
      <c r="P5" s="1007">
        <f>IF(AJ5="","",AJ5)</f>
      </c>
      <c r="Q5" s="1007"/>
      <c r="R5" s="1019">
        <f>IF(AM5="","",AM5)</f>
      </c>
      <c r="S5" s="1020"/>
      <c r="V5" s="1017" t="s">
        <v>126</v>
      </c>
      <c r="W5" s="1018"/>
      <c r="X5" s="1025"/>
      <c r="Y5" s="1015"/>
      <c r="Z5" s="1015"/>
      <c r="AA5" s="1026"/>
      <c r="AB5" s="1027"/>
      <c r="AC5" s="1028"/>
      <c r="AD5" s="1029"/>
      <c r="AE5" s="1027"/>
      <c r="AF5" s="1030"/>
      <c r="AG5" s="1026"/>
      <c r="AH5" s="1027"/>
      <c r="AI5" s="1028"/>
      <c r="AJ5" s="1015"/>
      <c r="AK5" s="1015"/>
      <c r="AL5" s="1015"/>
      <c r="AM5" s="1014"/>
      <c r="AN5" s="1015"/>
      <c r="AO5" s="1016"/>
    </row>
    <row r="6" spans="1:41" ht="15" customHeight="1">
      <c r="A6" s="1001" t="s">
        <v>127</v>
      </c>
      <c r="B6" s="1002"/>
      <c r="C6" s="1005" t="s">
        <v>34</v>
      </c>
      <c r="D6" s="1006"/>
      <c r="E6" s="39"/>
      <c r="F6" s="1001" t="s">
        <v>128</v>
      </c>
      <c r="G6" s="1002"/>
      <c r="H6" s="995">
        <f>IF(X6="","",X6)</f>
      </c>
      <c r="I6" s="995"/>
      <c r="J6" s="995">
        <f>IF(AA6="","",AA6)</f>
      </c>
      <c r="K6" s="995"/>
      <c r="L6" s="995">
        <f>IF(AD6="","",AD6)</f>
      </c>
      <c r="M6" s="995"/>
      <c r="N6" s="995">
        <f>IF(AG6="","",AG6)</f>
      </c>
      <c r="O6" s="995"/>
      <c r="P6" s="995">
        <f>IF(AJ6="","",AJ6)</f>
      </c>
      <c r="Q6" s="995"/>
      <c r="R6" s="995">
        <f>IF(AM6="","",AM6)</f>
      </c>
      <c r="S6" s="1031"/>
      <c r="V6" s="1012" t="s">
        <v>128</v>
      </c>
      <c r="W6" s="1013"/>
      <c r="X6" s="1008"/>
      <c r="Y6" s="1008"/>
      <c r="Z6" s="1008"/>
      <c r="AA6" s="1009"/>
      <c r="AB6" s="1010"/>
      <c r="AC6" s="1011"/>
      <c r="AD6" s="1021"/>
      <c r="AE6" s="1010"/>
      <c r="AF6" s="1022"/>
      <c r="AG6" s="1009"/>
      <c r="AH6" s="1010"/>
      <c r="AI6" s="1011"/>
      <c r="AJ6" s="1008"/>
      <c r="AK6" s="1008"/>
      <c r="AL6" s="1008"/>
      <c r="AM6" s="1037"/>
      <c r="AN6" s="1008"/>
      <c r="AO6" s="1038"/>
    </row>
    <row r="7" spans="1:41" ht="15" customHeight="1">
      <c r="A7" s="59">
        <v>1</v>
      </c>
      <c r="B7" s="593">
        <f>H5</f>
        <v>0</v>
      </c>
      <c r="C7" s="558" t="e">
        <f>H13</f>
        <v>#REF!</v>
      </c>
      <c r="D7" s="401" t="s">
        <v>586</v>
      </c>
      <c r="E7" s="39"/>
      <c r="F7" s="63">
        <v>1</v>
      </c>
      <c r="G7" s="560" t="s">
        <v>129</v>
      </c>
      <c r="H7" s="557" t="e">
        <f>#REF!</f>
        <v>#REF!</v>
      </c>
      <c r="I7" s="75" t="s">
        <v>315</v>
      </c>
      <c r="J7" s="557" t="e">
        <f>IF(#REF!="","",#REF!)</f>
        <v>#REF!</v>
      </c>
      <c r="K7" s="73">
        <f>IF(AA5="","","a")</f>
      </c>
      <c r="L7" s="557" t="e">
        <f>IF(#REF!="","",#REF!)</f>
        <v>#REF!</v>
      </c>
      <c r="M7" s="73">
        <f>IF(AD5="","","a")</f>
      </c>
      <c r="N7" s="557" t="e">
        <f>IF(#REF!="","",#REF!)</f>
        <v>#REF!</v>
      </c>
      <c r="O7" s="75">
        <f>IF(AG5="","","a")</f>
      </c>
      <c r="P7" s="73" t="e">
        <f>IF(#REF!="","",#REF!)</f>
        <v>#REF!</v>
      </c>
      <c r="Q7" s="75">
        <f>IF(AJ5="","","a")</f>
      </c>
      <c r="R7" s="561"/>
      <c r="S7" s="74">
        <f>IF(AM5="","","a")</f>
      </c>
      <c r="V7" s="42"/>
      <c r="W7" s="562"/>
      <c r="X7" s="552"/>
      <c r="Y7" s="545"/>
      <c r="Z7" s="553"/>
      <c r="AA7" s="545"/>
      <c r="AB7" s="545"/>
      <c r="AC7" s="545"/>
      <c r="AD7" s="552"/>
      <c r="AE7" s="545"/>
      <c r="AF7" s="553"/>
      <c r="AG7" s="545"/>
      <c r="AH7" s="545"/>
      <c r="AI7" s="545"/>
      <c r="AJ7" s="552"/>
      <c r="AK7" s="545"/>
      <c r="AL7" s="553"/>
      <c r="AM7" s="545"/>
      <c r="AN7" s="545"/>
      <c r="AO7" s="546"/>
    </row>
    <row r="8" spans="1:41" ht="15" customHeight="1">
      <c r="A8" s="321">
        <f>IF(B8="","",2)</f>
      </c>
      <c r="B8" s="594">
        <f>J5</f>
      </c>
      <c r="C8" s="564" t="e">
        <f>J13</f>
        <v>#REF!</v>
      </c>
      <c r="D8" s="402">
        <f>IF(B8="","","円")</f>
      </c>
      <c r="E8" s="39"/>
      <c r="F8" s="62">
        <v>2</v>
      </c>
      <c r="G8" s="565" t="s">
        <v>131</v>
      </c>
      <c r="H8" s="564" t="e">
        <f>X8</f>
        <v>#N/A</v>
      </c>
      <c r="I8" s="66" t="s">
        <v>316</v>
      </c>
      <c r="J8" s="564">
        <f>IF(AA8="","",AA8)</f>
      </c>
      <c r="K8" s="71">
        <f>IF(AB8="","",AB8)</f>
      </c>
      <c r="L8" s="564">
        <f>IF(AD8="","",AD8)</f>
      </c>
      <c r="M8" s="71">
        <f>IF(AE8="","",AE8)</f>
      </c>
      <c r="N8" s="564">
        <f>IF(AG8="","",AG8)</f>
      </c>
      <c r="O8" s="66">
        <f>IF(AH8="","",AH8)</f>
      </c>
      <c r="P8" s="563">
        <f>IF(AJ8="","",AJ8)</f>
      </c>
      <c r="Q8" s="66">
        <f>IF(AK8="","",AK8)</f>
      </c>
      <c r="R8" s="563">
        <f>IF(AM8="","",AM8)</f>
      </c>
      <c r="S8" s="60">
        <f>IF(AN8="","",AN8)</f>
      </c>
      <c r="V8" s="544"/>
      <c r="W8" s="566" t="s">
        <v>131</v>
      </c>
      <c r="X8" s="537" t="e">
        <f>HLOOKUP(X4,'経営指標(触らない)'!$D$2:$N$22,3,1)</f>
        <v>#N/A</v>
      </c>
      <c r="Y8" s="1023" t="s">
        <v>545</v>
      </c>
      <c r="Z8" s="1024"/>
      <c r="AA8" s="541">
        <f>IF($AA$5="","",HLOOKUP(AA4,'経営指標(触らない)'!$D$2:$N$22,3,1))</f>
      </c>
      <c r="AB8" s="1023">
        <f>IF(AA5="","","kg")</f>
      </c>
      <c r="AC8" s="1036"/>
      <c r="AD8" s="537">
        <f>IF($AD$5="","",HLOOKUP(AD4,'経営指標(触らない)'!$D$2:$N$22,3,1))</f>
      </c>
      <c r="AE8" s="1023">
        <f>IF(AD5="","","kg")</f>
      </c>
      <c r="AF8" s="1024"/>
      <c r="AG8" s="541">
        <f>IF($AG$5="","",HLOOKUP(AG4,'経営指標(触らない)'!$D$2:$N$22,3,1))</f>
      </c>
      <c r="AH8" s="1023">
        <f>IF(AG5="","","kg")</f>
      </c>
      <c r="AI8" s="1036"/>
      <c r="AJ8" s="537">
        <f>IF($AJ$5="","",HLOOKUP(AJ4,'経営指標(触らない)'!$D$2:$N$22,3,1))</f>
      </c>
      <c r="AK8" s="1023">
        <f>IF(AJ5="","","kg")</f>
      </c>
      <c r="AL8" s="1024"/>
      <c r="AM8" s="541">
        <f>IF($AM$5="","",HLOOKUP(AM4,'経営指標(触らない)'!$D$2:$N$22,3,1))</f>
      </c>
      <c r="AN8" s="1023">
        <f>IF(AM5="","","kg")</f>
      </c>
      <c r="AO8" s="1039"/>
    </row>
    <row r="9" spans="1:41" ht="15" customHeight="1">
      <c r="A9" s="321">
        <f>IF(B9="","",3)</f>
      </c>
      <c r="B9" s="594">
        <f>L5</f>
      </c>
      <c r="C9" s="564" t="e">
        <f>L13</f>
        <v>#REF!</v>
      </c>
      <c r="D9" s="402">
        <f>IF(B9="","","円")</f>
      </c>
      <c r="E9" s="39"/>
      <c r="F9" s="62">
        <v>3</v>
      </c>
      <c r="G9" s="568" t="s">
        <v>132</v>
      </c>
      <c r="H9" s="564" t="e">
        <f>ROUNDDOWN(H7*H8/10,0)</f>
        <v>#REF!</v>
      </c>
      <c r="I9" s="66" t="s">
        <v>316</v>
      </c>
      <c r="J9" s="564" t="e">
        <f>IF(J7="","",ROUNDDOWN(J7*J8/10,0))</f>
        <v>#REF!</v>
      </c>
      <c r="K9" s="71">
        <f>IF(AB9="","",AB9)</f>
      </c>
      <c r="L9" s="564" t="e">
        <f>IF(L7="","",ROUNDDOWN(L7*L8/10,0))</f>
        <v>#REF!</v>
      </c>
      <c r="M9" s="71">
        <f>IF(AE9="","",AE9)</f>
      </c>
      <c r="N9" s="564" t="e">
        <f>IF(N7="","",ROUNDDOWN(N7*N8/10,0))</f>
        <v>#REF!</v>
      </c>
      <c r="O9" s="66">
        <f>IF(AH9="","",AH9)</f>
      </c>
      <c r="P9" s="563" t="e">
        <f>IF(P7="","",ROUNDDOWN(P7*P8/10,0))</f>
        <v>#REF!</v>
      </c>
      <c r="Q9" s="66">
        <f>IF(AK9="","",AK9)</f>
      </c>
      <c r="R9" s="563">
        <f>IF(R7="","",ROUNDDOWN(R7*R8/10,0))</f>
      </c>
      <c r="S9" s="60">
        <f>IF(AN9="","",AN9)</f>
      </c>
      <c r="V9" s="544"/>
      <c r="W9" s="567" t="s">
        <v>132</v>
      </c>
      <c r="X9" s="538" t="e">
        <f>X8</f>
        <v>#N/A</v>
      </c>
      <c r="Y9" s="1032" t="str">
        <f>Y8</f>
        <v>kg</v>
      </c>
      <c r="Z9" s="1033" t="s">
        <v>589</v>
      </c>
      <c r="AA9" s="539">
        <f>IF(AA8="","",AA8)</f>
      </c>
      <c r="AB9" s="1032">
        <f>IF($AA5="","",AB8)</f>
      </c>
      <c r="AC9" s="1035" t="s">
        <v>589</v>
      </c>
      <c r="AD9" s="538">
        <f>IF(AD8="","",AD8)</f>
      </c>
      <c r="AE9" s="1032">
        <f>IF(AD5="","",AE8)</f>
      </c>
      <c r="AF9" s="1033" t="s">
        <v>589</v>
      </c>
      <c r="AG9" s="539">
        <f>IF(AG8="","",AG8)</f>
      </c>
      <c r="AH9" s="1032">
        <f>IF(AG5="","",AH8)</f>
      </c>
      <c r="AI9" s="1035" t="s">
        <v>589</v>
      </c>
      <c r="AJ9" s="538">
        <f>IF(AJ8="","",AJ8)</f>
      </c>
      <c r="AK9" s="1032">
        <f>IF(AJ5="","",AK8)</f>
      </c>
      <c r="AL9" s="1033" t="s">
        <v>589</v>
      </c>
      <c r="AM9" s="539">
        <f>IF(AM8="","",AM8)</f>
      </c>
      <c r="AN9" s="1032">
        <f>IF(AM5="","",AN8)</f>
      </c>
      <c r="AO9" s="1034" t="s">
        <v>589</v>
      </c>
    </row>
    <row r="10" spans="1:41" ht="15" customHeight="1">
      <c r="A10" s="321">
        <f>IF(B10="","",4)</f>
      </c>
      <c r="B10" s="594">
        <f>N5</f>
      </c>
      <c r="C10" s="564" t="e">
        <f>N13</f>
        <v>#REF!</v>
      </c>
      <c r="D10" s="402">
        <f>IF(B10="","","円")</f>
      </c>
      <c r="E10" s="39"/>
      <c r="F10" s="62">
        <v>4</v>
      </c>
      <c r="G10" s="568" t="s">
        <v>133</v>
      </c>
      <c r="H10" s="569" t="e">
        <f>X10</f>
        <v>#N/A</v>
      </c>
      <c r="I10" s="66" t="s">
        <v>355</v>
      </c>
      <c r="J10" s="569">
        <f>IF(AA10="","",AA10)</f>
      </c>
      <c r="K10" s="393">
        <f>IF(AB10="","",AB10)</f>
      </c>
      <c r="L10" s="564">
        <f>IF(AD10="","",AD10)</f>
      </c>
      <c r="M10" s="393">
        <f>IF(AE10="","",AE10)</f>
      </c>
      <c r="N10" s="564">
        <f>IF(AG10="","",AG10)</f>
      </c>
      <c r="O10" s="391">
        <f>IF(AH10="","",AH10)</f>
      </c>
      <c r="P10" s="563">
        <f>IF(AJ10="","",AJ10)</f>
      </c>
      <c r="Q10" s="391">
        <f>IF(AK10="","",AK10)</f>
      </c>
      <c r="R10" s="563">
        <f>IF(AM10="","",AM10)</f>
      </c>
      <c r="S10" s="392">
        <f>IF(AN10="","",AN10)</f>
      </c>
      <c r="V10" s="544"/>
      <c r="W10" s="567" t="s">
        <v>133</v>
      </c>
      <c r="X10" s="540" t="e">
        <f>HLOOKUP(X4,'経営指標(触らない)'!$D$2:$N$22,4,1)</f>
        <v>#N/A</v>
      </c>
      <c r="Y10" s="1032" t="s">
        <v>586</v>
      </c>
      <c r="Z10" s="1033" t="s">
        <v>586</v>
      </c>
      <c r="AA10" s="541">
        <f>IF(AA$5="","",HLOOKUP(AA$4,'経営指標(触らない)'!$D$2:$N$22,4,1))</f>
      </c>
      <c r="AB10" s="1032">
        <f>IF($AA$5="","","円")</f>
      </c>
      <c r="AC10" s="1035" t="s">
        <v>586</v>
      </c>
      <c r="AD10" s="537">
        <f>IF(AD$5="","",HLOOKUP(AD$4,'経営指標(触らない)'!$D$2:$N$22,4,1))</f>
      </c>
      <c r="AE10" s="1032">
        <f>IF($AD$5="","","円")</f>
      </c>
      <c r="AF10" s="1033" t="s">
        <v>586</v>
      </c>
      <c r="AG10" s="541">
        <f>IF(AG$5="","",HLOOKUP(AG$4,'経営指標(触らない)'!$D$2:$N$22,4,1))</f>
      </c>
      <c r="AH10" s="1032">
        <f>IF($AG$5="","","円")</f>
      </c>
      <c r="AI10" s="1035" t="s">
        <v>586</v>
      </c>
      <c r="AJ10" s="537">
        <f>IF(AJ$5="","",HLOOKUP(AJ$4,'経営指標(触らない)'!$D$2:$N$22,4,1))</f>
      </c>
      <c r="AK10" s="1032">
        <f>IF($AJ$5="","","円")</f>
      </c>
      <c r="AL10" s="1033" t="s">
        <v>586</v>
      </c>
      <c r="AM10" s="541">
        <f>IF(AM$5="","",HLOOKUP(AM$4,'経営指標(触らない)'!$D$2:$N$22,4,1))</f>
      </c>
      <c r="AN10" s="1032">
        <f>IF($AM$5="","","円")</f>
      </c>
      <c r="AO10" s="1034" t="s">
        <v>586</v>
      </c>
    </row>
    <row r="11" spans="1:41" ht="15" customHeight="1">
      <c r="A11" s="321">
        <f>IF(B11="","",5)</f>
      </c>
      <c r="B11" s="594">
        <f>P5</f>
      </c>
      <c r="C11" s="564" t="e">
        <f>P13</f>
        <v>#REF!</v>
      </c>
      <c r="D11" s="402">
        <f>IF(B11="","","円")</f>
      </c>
      <c r="E11" s="39"/>
      <c r="F11" s="62">
        <v>5</v>
      </c>
      <c r="G11" s="568" t="s">
        <v>134</v>
      </c>
      <c r="H11" s="564" t="e">
        <f>ROUNDDOWN(H9*H10,0)</f>
        <v>#REF!</v>
      </c>
      <c r="I11" s="66" t="s">
        <v>355</v>
      </c>
      <c r="J11" s="564" t="e">
        <f>IF(J9="","",ROUNDDOWN(J9*J10,0))</f>
        <v>#REF!</v>
      </c>
      <c r="K11" s="393">
        <f>IF(AB11="","",AB11)</f>
      </c>
      <c r="L11" s="564" t="e">
        <f>IF(L9="","",ROUNDDOWN(L9*L10,0))</f>
        <v>#REF!</v>
      </c>
      <c r="M11" s="393">
        <f>IF(AE11="","",AE11)</f>
      </c>
      <c r="N11" s="564" t="e">
        <f>IF(N9="","",ROUNDDOWN(N9*N10,0))</f>
        <v>#REF!</v>
      </c>
      <c r="O11" s="391">
        <f>IF(AH11="","",AH11)</f>
      </c>
      <c r="P11" s="563" t="e">
        <f>IF(P9="","",ROUNDDOWN(P9*P10,0))</f>
        <v>#REF!</v>
      </c>
      <c r="Q11" s="391">
        <f>IF(AK11="","",AK11)</f>
      </c>
      <c r="R11" s="563">
        <f>IF(R9="","",ROUNDDOWN(R9*R10,0))</f>
      </c>
      <c r="S11" s="392">
        <f>IF(AN11="","",AN11)</f>
      </c>
      <c r="V11" s="544"/>
      <c r="W11" s="567" t="s">
        <v>134</v>
      </c>
      <c r="X11" s="538" t="e">
        <f>X9*X10</f>
        <v>#N/A</v>
      </c>
      <c r="Y11" s="1032" t="s">
        <v>586</v>
      </c>
      <c r="Z11" s="1033" t="s">
        <v>590</v>
      </c>
      <c r="AA11" s="539">
        <f>IF(AA8="","",AA9*AA10)</f>
      </c>
      <c r="AB11" s="1032">
        <f>IF($AA$5="","","円")</f>
      </c>
      <c r="AC11" s="1035" t="s">
        <v>588</v>
      </c>
      <c r="AD11" s="538">
        <f>IF(AD8="","",AD9*AD10)</f>
      </c>
      <c r="AE11" s="1032">
        <f>IF($AD$5="","","円")</f>
      </c>
      <c r="AF11" s="1033" t="s">
        <v>588</v>
      </c>
      <c r="AG11" s="539">
        <f>IF(AG8="","",AG9*AG10)</f>
      </c>
      <c r="AH11" s="1032">
        <f>IF($AG$5="","","円")</f>
      </c>
      <c r="AI11" s="1035" t="s">
        <v>588</v>
      </c>
      <c r="AJ11" s="538">
        <f>IF(AJ8="","",AJ9*AJ10)</f>
      </c>
      <c r="AK11" s="1032">
        <f>IF($AJ$5="","","円")</f>
      </c>
      <c r="AL11" s="1033" t="s">
        <v>588</v>
      </c>
      <c r="AM11" s="539">
        <f>IF(AM8="","",AM9*AM10)</f>
      </c>
      <c r="AN11" s="1032">
        <f>IF($AM$5="","","円")</f>
      </c>
      <c r="AO11" s="1034" t="s">
        <v>588</v>
      </c>
    </row>
    <row r="12" spans="1:41" ht="15" customHeight="1">
      <c r="A12" s="322">
        <f>IF(B12="","",6)</f>
      </c>
      <c r="B12" s="595">
        <f>R5</f>
      </c>
      <c r="C12" s="570">
        <f>R13</f>
      </c>
      <c r="D12" s="406">
        <f>IF(B12="","","円")</f>
      </c>
      <c r="E12" s="39"/>
      <c r="F12" s="72"/>
      <c r="G12" s="572"/>
      <c r="H12" s="570"/>
      <c r="I12" s="67"/>
      <c r="J12" s="570"/>
      <c r="K12" s="396"/>
      <c r="L12" s="570"/>
      <c r="M12" s="396"/>
      <c r="N12" s="570"/>
      <c r="O12" s="394"/>
      <c r="P12" s="571"/>
      <c r="Q12" s="394"/>
      <c r="R12" s="571"/>
      <c r="S12" s="395"/>
      <c r="V12" s="547"/>
      <c r="W12" s="548"/>
      <c r="X12" s="61"/>
      <c r="Y12" s="1040"/>
      <c r="Z12" s="1042"/>
      <c r="AA12" s="525"/>
      <c r="AB12" s="1040"/>
      <c r="AC12" s="1041"/>
      <c r="AD12" s="61"/>
      <c r="AE12" s="1040"/>
      <c r="AF12" s="1042"/>
      <c r="AG12" s="525"/>
      <c r="AH12" s="1040"/>
      <c r="AI12" s="1041"/>
      <c r="AJ12" s="61"/>
      <c r="AK12" s="1040"/>
      <c r="AL12" s="1042"/>
      <c r="AM12" s="525"/>
      <c r="AN12" s="1040"/>
      <c r="AO12" s="1043"/>
    </row>
    <row r="13" spans="1:41" ht="15" customHeight="1">
      <c r="A13" s="1044" t="s">
        <v>356</v>
      </c>
      <c r="B13" s="1045"/>
      <c r="C13" s="61" t="e">
        <f>SUM(C7:C12)</f>
        <v>#REF!</v>
      </c>
      <c r="D13" s="398" t="s">
        <v>586</v>
      </c>
      <c r="E13" s="39"/>
      <c r="F13" s="1048" t="s">
        <v>135</v>
      </c>
      <c r="G13" s="1049"/>
      <c r="H13" s="61" t="e">
        <f>SUM(H11:H12)</f>
        <v>#REF!</v>
      </c>
      <c r="I13" s="68" t="s">
        <v>355</v>
      </c>
      <c r="J13" s="61" t="e">
        <f>IF(J11="","",J11+J12)</f>
        <v>#REF!</v>
      </c>
      <c r="K13" s="397">
        <f>IF(AB13="","",AB13)</f>
      </c>
      <c r="L13" s="61" t="e">
        <f>IF(L11="","",L11+L12)</f>
        <v>#REF!</v>
      </c>
      <c r="M13" s="397">
        <f>IF(AE13="","",AE13)</f>
      </c>
      <c r="N13" s="61" t="e">
        <f>IF(N11="","",N11+N12)</f>
        <v>#REF!</v>
      </c>
      <c r="O13" s="399">
        <f>IF(AH13="","",AH13)</f>
      </c>
      <c r="P13" s="525" t="e">
        <f>IF(P11="","",P11+P12)</f>
        <v>#REF!</v>
      </c>
      <c r="Q13" s="399">
        <f>IF(AK13="","",AK13)</f>
      </c>
      <c r="R13" s="525">
        <f>IF(R11="","",R11+R12)</f>
      </c>
      <c r="S13" s="398">
        <f>IF(AN13="","",AN13)</f>
      </c>
      <c r="V13" s="1048" t="s">
        <v>135</v>
      </c>
      <c r="W13" s="1049"/>
      <c r="X13" s="61" t="e">
        <f>SUM(X11)</f>
        <v>#N/A</v>
      </c>
      <c r="Y13" s="1040" t="s">
        <v>586</v>
      </c>
      <c r="Z13" s="1042" t="s">
        <v>590</v>
      </c>
      <c r="AA13" s="525">
        <f>IF(AA11="","",AA11)</f>
      </c>
      <c r="AB13" s="1040">
        <f>IF($AA$5="","","円")</f>
      </c>
      <c r="AC13" s="1041" t="s">
        <v>588</v>
      </c>
      <c r="AD13" s="61">
        <f>IF(AD11="","",AD11)</f>
      </c>
      <c r="AE13" s="1040">
        <f>IF($AD$5="","","円")</f>
      </c>
      <c r="AF13" s="1042" t="s">
        <v>588</v>
      </c>
      <c r="AG13" s="525">
        <f>IF(AG11="","",AG11)</f>
      </c>
      <c r="AH13" s="1040">
        <f>IF($AG$5="","","円")</f>
      </c>
      <c r="AI13" s="1041" t="s">
        <v>588</v>
      </c>
      <c r="AJ13" s="61">
        <f>IF(AJ11="","",AJ11)</f>
      </c>
      <c r="AK13" s="1040">
        <f>IF($AJ$5="","","円")</f>
      </c>
      <c r="AL13" s="1042" t="s">
        <v>588</v>
      </c>
      <c r="AM13" s="525">
        <f>IF(AM11="","",AM11)</f>
      </c>
      <c r="AN13" s="1040">
        <f>IF($AM$5="","","円")</f>
      </c>
      <c r="AO13" s="1043" t="s">
        <v>588</v>
      </c>
    </row>
    <row r="14" spans="1:41" ht="15" customHeight="1">
      <c r="A14" s="37"/>
      <c r="B14" s="37"/>
      <c r="C14" s="37"/>
      <c r="D14" s="37"/>
      <c r="E14" s="39"/>
      <c r="F14" s="39"/>
      <c r="G14" s="39"/>
      <c r="H14" s="37"/>
      <c r="I14" s="37"/>
      <c r="J14" s="37"/>
      <c r="K14" s="37"/>
      <c r="L14" s="37"/>
      <c r="M14" s="37"/>
      <c r="N14" s="37"/>
      <c r="O14" s="37"/>
      <c r="P14" s="37"/>
      <c r="Q14" s="39"/>
      <c r="R14" s="37"/>
      <c r="S14" s="37"/>
      <c r="V14" s="43"/>
      <c r="W14" s="43"/>
      <c r="X14" s="556"/>
      <c r="Y14" s="556"/>
      <c r="Z14" s="556"/>
      <c r="AA14" s="556"/>
      <c r="AB14" s="556"/>
      <c r="AC14" s="556"/>
      <c r="AD14" s="556"/>
      <c r="AE14" s="556"/>
      <c r="AF14" s="556"/>
      <c r="AG14" s="556"/>
      <c r="AH14" s="556"/>
      <c r="AI14" s="556"/>
      <c r="AJ14" s="556"/>
      <c r="AK14" s="556"/>
      <c r="AL14" s="556"/>
      <c r="AM14" s="556"/>
      <c r="AN14" s="556"/>
      <c r="AO14" s="556"/>
    </row>
    <row r="15" spans="1:41" ht="15" customHeight="1">
      <c r="A15" s="1050" t="s">
        <v>357</v>
      </c>
      <c r="B15" s="1051"/>
      <c r="C15" s="1051"/>
      <c r="D15" s="1052"/>
      <c r="E15" s="39"/>
      <c r="F15" s="64"/>
      <c r="G15" s="64"/>
      <c r="H15" s="1047"/>
      <c r="I15" s="1047"/>
      <c r="J15" s="1047"/>
      <c r="K15" s="1047"/>
      <c r="L15" s="1047"/>
      <c r="M15" s="1047"/>
      <c r="N15" s="1047"/>
      <c r="O15" s="1047"/>
      <c r="P15" s="1047"/>
      <c r="Q15" s="1047"/>
      <c r="R15" s="1047"/>
      <c r="S15" s="1047"/>
      <c r="V15" s="548"/>
      <c r="W15" s="548"/>
      <c r="X15" s="1046"/>
      <c r="Y15" s="1046"/>
      <c r="Z15" s="1046"/>
      <c r="AA15" s="1046"/>
      <c r="AB15" s="1046"/>
      <c r="AC15" s="1046"/>
      <c r="AD15" s="1046"/>
      <c r="AE15" s="1046"/>
      <c r="AF15" s="1046"/>
      <c r="AG15" s="1046"/>
      <c r="AH15" s="1046"/>
      <c r="AI15" s="1046"/>
      <c r="AJ15" s="1046"/>
      <c r="AK15" s="1046"/>
      <c r="AL15" s="1046"/>
      <c r="AM15" s="1046"/>
      <c r="AN15" s="1046"/>
      <c r="AO15" s="1046"/>
    </row>
    <row r="16" spans="1:41" ht="15" customHeight="1">
      <c r="A16" s="1072" t="s">
        <v>358</v>
      </c>
      <c r="B16" s="1073"/>
      <c r="C16" s="1075" t="s">
        <v>335</v>
      </c>
      <c r="D16" s="1076"/>
      <c r="E16" s="39"/>
      <c r="F16" s="1077" t="s">
        <v>136</v>
      </c>
      <c r="G16" s="1078"/>
      <c r="H16" s="1063" t="s">
        <v>335</v>
      </c>
      <c r="I16" s="1063"/>
      <c r="J16" s="1064" t="e">
        <f>IF(J13="","","金額")</f>
        <v>#REF!</v>
      </c>
      <c r="K16" s="1064"/>
      <c r="L16" s="1064" t="e">
        <f>IF(L13="","","金額")</f>
        <v>#REF!</v>
      </c>
      <c r="M16" s="1064"/>
      <c r="N16" s="1064" t="e">
        <f>IF(N13="","","金額")</f>
        <v>#REF!</v>
      </c>
      <c r="O16" s="1064"/>
      <c r="P16" s="1064" t="e">
        <f>IF(P13="","","金額")</f>
        <v>#REF!</v>
      </c>
      <c r="Q16" s="1064"/>
      <c r="R16" s="1064">
        <f>IF(R13="","","金額")</f>
      </c>
      <c r="S16" s="1074"/>
      <c r="V16" s="1070" t="s">
        <v>136</v>
      </c>
      <c r="W16" s="1054"/>
      <c r="X16" s="1053" t="s">
        <v>34</v>
      </c>
      <c r="Y16" s="1054"/>
      <c r="Z16" s="1055"/>
      <c r="AA16" s="1056">
        <f>IF(AA13="","","金額")</f>
      </c>
      <c r="AB16" s="1054"/>
      <c r="AC16" s="1057"/>
      <c r="AD16" s="1053">
        <f>IF(AD13="","","金額")</f>
      </c>
      <c r="AE16" s="1054"/>
      <c r="AF16" s="1055"/>
      <c r="AG16" s="1056">
        <f>IF(AG13="","","金額")</f>
      </c>
      <c r="AH16" s="1054"/>
      <c r="AI16" s="1057"/>
      <c r="AJ16" s="1053">
        <f>IF(AJ13="","","金額")</f>
      </c>
      <c r="AK16" s="1054"/>
      <c r="AL16" s="1055"/>
      <c r="AM16" s="1058">
        <f>IF(AM13="","","金額")</f>
      </c>
      <c r="AN16" s="1059"/>
      <c r="AO16" s="1060"/>
    </row>
    <row r="17" spans="1:41" ht="15" customHeight="1">
      <c r="A17" s="63">
        <v>1</v>
      </c>
      <c r="B17" s="560" t="s">
        <v>137</v>
      </c>
      <c r="C17" s="574" t="e">
        <f aca="true" t="shared" si="0" ref="C17:C33">SUM(H17:R17)</f>
        <v>#REF!</v>
      </c>
      <c r="D17" s="401" t="s">
        <v>586</v>
      </c>
      <c r="E17" s="39"/>
      <c r="F17" s="63">
        <v>1</v>
      </c>
      <c r="G17" s="560" t="s">
        <v>137</v>
      </c>
      <c r="H17" s="558" t="e">
        <f>ROUNDDOWN($H$7*0.1*X17,0)</f>
        <v>#REF!</v>
      </c>
      <c r="I17" s="65" t="s">
        <v>355</v>
      </c>
      <c r="J17" s="558" t="e">
        <f aca="true" t="shared" si="1" ref="J17:J29">IF(J$7="","",ROUNDDOWN($J$7*0.1*AA17,0))</f>
        <v>#REF!</v>
      </c>
      <c r="K17" s="403">
        <f>IF(AB17="","",AB17)</f>
      </c>
      <c r="L17" s="558" t="e">
        <f aca="true" t="shared" si="2" ref="L17:L29">IF(L$7="","",ROUNDDOWN(L$7*0.1*AD17,0))</f>
        <v>#REF!</v>
      </c>
      <c r="M17" s="403">
        <f>IF(AE17="","",AE17)</f>
      </c>
      <c r="N17" s="558" t="e">
        <f aca="true" t="shared" si="3" ref="N17:N29">IF(N$7="","",ROUNDDOWN(N$7*0.1*AG17,0))</f>
        <v>#REF!</v>
      </c>
      <c r="O17" s="400">
        <f>IF(AH17="","",AH17)</f>
      </c>
      <c r="P17" s="559" t="e">
        <f aca="true" t="shared" si="4" ref="P17:P29">IF(P$7="","",ROUNDDOWN(P$7*0.1*AJ17,0))</f>
        <v>#REF!</v>
      </c>
      <c r="Q17" s="400">
        <f>IF(AK17="","",AK17)</f>
      </c>
      <c r="R17" s="559">
        <f aca="true" t="shared" si="5" ref="R17:R29">IF(R$7="","",ROUNDDOWN(R$7*0.1*AM17,0))</f>
      </c>
      <c r="S17" s="401">
        <f>IF(AN17="","",AN17)</f>
      </c>
      <c r="V17" s="549">
        <v>1</v>
      </c>
      <c r="W17" s="575" t="s">
        <v>137</v>
      </c>
      <c r="X17" s="554" t="e">
        <f>HLOOKUP(X4,'経営指標(触らない)'!$D$2:$N$22,5,1)</f>
        <v>#N/A</v>
      </c>
      <c r="Y17" s="1061" t="s">
        <v>586</v>
      </c>
      <c r="Z17" s="1062"/>
      <c r="AA17" s="550">
        <f>IF(AA$5="","",HLOOKUP(AA$4,'経営指標(触らない)'!$D$2:$N$22,5,1))</f>
      </c>
      <c r="AB17" s="1061">
        <f>IF($AA$5="","","円")</f>
      </c>
      <c r="AC17" s="1066"/>
      <c r="AD17" s="554">
        <f>IF(AD$5="","",HLOOKUP(AD$4,'経営指標(触らない)'!$D$2:$N$22,5,1))</f>
      </c>
      <c r="AE17" s="1061">
        <f aca="true" t="shared" si="6" ref="AE17:AE35">IF($AD$5="","","円")</f>
      </c>
      <c r="AF17" s="1062"/>
      <c r="AG17" s="550">
        <f>IF(AG$5="","",HLOOKUP(AG$4,'経営指標(触らない)'!$D$2:$N$22,5,1))</f>
      </c>
      <c r="AH17" s="1061">
        <f aca="true" t="shared" si="7" ref="AH17:AH35">IF($AG$5="","","円")</f>
      </c>
      <c r="AI17" s="1066"/>
      <c r="AJ17" s="554">
        <f>IF(AJ$5="","",HLOOKUP(AJ$4,'経営指標(触らない)'!$D$2:$N$22,5,1))</f>
      </c>
      <c r="AK17" s="1061">
        <f aca="true" t="shared" si="8" ref="AK17:AK35">IF($AJ$5="","","円")</f>
      </c>
      <c r="AL17" s="1062"/>
      <c r="AM17" s="550">
        <f>IF(AM$5="","",HLOOKUP(AM$4,'経営指標(触らない)'!$D$2:$N$22,5,1))</f>
      </c>
      <c r="AN17" s="1061">
        <f aca="true" t="shared" si="9" ref="AN17:AN35">IF($AM$5="","","円")</f>
      </c>
      <c r="AO17" s="1065"/>
    </row>
    <row r="18" spans="1:41" ht="15" customHeight="1">
      <c r="A18" s="62">
        <v>2</v>
      </c>
      <c r="B18" s="568" t="s">
        <v>601</v>
      </c>
      <c r="C18" s="573" t="e">
        <f t="shared" si="0"/>
        <v>#REF!</v>
      </c>
      <c r="D18" s="392" t="s">
        <v>586</v>
      </c>
      <c r="E18" s="39"/>
      <c r="F18" s="62">
        <v>2</v>
      </c>
      <c r="G18" s="568" t="s">
        <v>602</v>
      </c>
      <c r="H18" s="564" t="e">
        <f>ROUNDDOWN($H$7*0.1*X18,0)</f>
        <v>#REF!</v>
      </c>
      <c r="I18" s="66" t="s">
        <v>355</v>
      </c>
      <c r="J18" s="564" t="e">
        <f t="shared" si="1"/>
        <v>#REF!</v>
      </c>
      <c r="K18" s="393">
        <f aca="true" t="shared" si="10" ref="K18:K35">IF(AB18="","",AB18)</f>
      </c>
      <c r="L18" s="564" t="e">
        <f t="shared" si="2"/>
        <v>#REF!</v>
      </c>
      <c r="M18" s="393">
        <f aca="true" t="shared" si="11" ref="M18:M35">IF(AE18="","",AE18)</f>
      </c>
      <c r="N18" s="564" t="e">
        <f t="shared" si="3"/>
        <v>#REF!</v>
      </c>
      <c r="O18" s="391">
        <f aca="true" t="shared" si="12" ref="O18:O35">IF(AH18="","",AH18)</f>
      </c>
      <c r="P18" s="563" t="e">
        <f t="shared" si="4"/>
        <v>#REF!</v>
      </c>
      <c r="Q18" s="391">
        <f aca="true" t="shared" si="13" ref="Q18:Q35">IF(AK18="","",AK18)</f>
      </c>
      <c r="R18" s="563">
        <f t="shared" si="5"/>
      </c>
      <c r="S18" s="392">
        <f aca="true" t="shared" si="14" ref="S18:S35">IF(AN18="","",AN18)</f>
      </c>
      <c r="V18" s="62">
        <v>2</v>
      </c>
      <c r="W18" s="568" t="s">
        <v>603</v>
      </c>
      <c r="X18" s="320" t="e">
        <f>HLOOKUP(X4,'経営指標(触らない)'!$D$2:$N$22,6,1)</f>
        <v>#N/A</v>
      </c>
      <c r="Y18" s="1067" t="s">
        <v>586</v>
      </c>
      <c r="Z18" s="1069"/>
      <c r="AA18" s="542">
        <f>IF(AA$5="","",HLOOKUP(AA$4,'経営指標(触らない)'!$D$2:$N$22,6,1))</f>
      </c>
      <c r="AB18" s="1067">
        <f>IF($AA$5="","","円")</f>
      </c>
      <c r="AC18" s="1067"/>
      <c r="AD18" s="320">
        <f>IF(AD$5="","",HLOOKUP(AD$4,'経営指標(触らない)'!$D$2:$N$22,6,1))</f>
      </c>
      <c r="AE18" s="1067">
        <f t="shared" si="6"/>
      </c>
      <c r="AF18" s="1071"/>
      <c r="AG18" s="542">
        <f>IF(AG$5="","",HLOOKUP(AG$4,'経営指標(触らない)'!$D$2:$N$22,6,1))</f>
      </c>
      <c r="AH18" s="1067">
        <f t="shared" si="7"/>
      </c>
      <c r="AI18" s="1067"/>
      <c r="AJ18" s="320">
        <f>IF(AJ$5="","",HLOOKUP(AJ$4,'経営指標(触らない)'!$D$2:$N$22,6,1))</f>
      </c>
      <c r="AK18" s="1067">
        <f t="shared" si="8"/>
      </c>
      <c r="AL18" s="1071"/>
      <c r="AM18" s="542">
        <f>IF(AM$5="","",HLOOKUP(AM$4,'経営指標(触らない)'!$D$2:$N$22,6,1))</f>
      </c>
      <c r="AN18" s="1067">
        <f t="shared" si="9"/>
      </c>
      <c r="AO18" s="1068"/>
    </row>
    <row r="19" spans="1:41" ht="15" customHeight="1">
      <c r="A19" s="62">
        <v>3</v>
      </c>
      <c r="B19" s="568" t="s">
        <v>311</v>
      </c>
      <c r="C19" s="573" t="e">
        <f t="shared" si="0"/>
        <v>#REF!</v>
      </c>
      <c r="D19" s="392" t="s">
        <v>586</v>
      </c>
      <c r="E19" s="39"/>
      <c r="F19" s="62">
        <v>3</v>
      </c>
      <c r="G19" s="568" t="s">
        <v>311</v>
      </c>
      <c r="H19" s="564" t="e">
        <f>ROUNDDOWN($H$7*0.1*X19,0)</f>
        <v>#REF!</v>
      </c>
      <c r="I19" s="66" t="s">
        <v>355</v>
      </c>
      <c r="J19" s="564" t="e">
        <f t="shared" si="1"/>
        <v>#REF!</v>
      </c>
      <c r="K19" s="393">
        <f t="shared" si="10"/>
      </c>
      <c r="L19" s="564" t="e">
        <f t="shared" si="2"/>
        <v>#REF!</v>
      </c>
      <c r="M19" s="393">
        <f t="shared" si="11"/>
      </c>
      <c r="N19" s="564" t="e">
        <f t="shared" si="3"/>
        <v>#REF!</v>
      </c>
      <c r="O19" s="391">
        <f t="shared" si="12"/>
      </c>
      <c r="P19" s="563" t="e">
        <f t="shared" si="4"/>
        <v>#REF!</v>
      </c>
      <c r="Q19" s="391">
        <f t="shared" si="13"/>
      </c>
      <c r="R19" s="563">
        <f t="shared" si="5"/>
      </c>
      <c r="S19" s="392">
        <f t="shared" si="14"/>
      </c>
      <c r="V19" s="62">
        <v>3</v>
      </c>
      <c r="W19" s="568" t="s">
        <v>311</v>
      </c>
      <c r="X19" s="320" t="e">
        <f>HLOOKUP(X4,'経営指標(触らない)'!$D$2:$N$22,7,1)</f>
        <v>#N/A</v>
      </c>
      <c r="Y19" s="1067" t="s">
        <v>586</v>
      </c>
      <c r="Z19" s="1069"/>
      <c r="AA19" s="542">
        <f>IF(AA$5="","",HLOOKUP(AA$4,'経営指標(触らない)'!$D$2:$N$22,7,1))</f>
      </c>
      <c r="AB19" s="1067">
        <f aca="true" t="shared" si="15" ref="AB19:AB34">IF($AA$5="","","円")</f>
      </c>
      <c r="AC19" s="1067"/>
      <c r="AD19" s="320">
        <f>IF(AD$5="","",HLOOKUP(AD$4,'経営指標(触らない)'!$D$2:$N$22,7,1))</f>
      </c>
      <c r="AE19" s="1067">
        <f t="shared" si="6"/>
      </c>
      <c r="AF19" s="1071"/>
      <c r="AG19" s="542">
        <f>IF(AG$5="","",HLOOKUP(AG$4,'経営指標(触らない)'!$D$2:$N$22,7,1))</f>
      </c>
      <c r="AH19" s="1067">
        <f t="shared" si="7"/>
      </c>
      <c r="AI19" s="1067"/>
      <c r="AJ19" s="320">
        <f>IF(AJ$5="","",HLOOKUP(AJ$4,'経営指標(触らない)'!$D$2:$N$22,7,1))</f>
      </c>
      <c r="AK19" s="1067">
        <f t="shared" si="8"/>
      </c>
      <c r="AL19" s="1071"/>
      <c r="AM19" s="542">
        <f>IF(AM$5="","",HLOOKUP(AM$4,'経営指標(触らない)'!$D$2:$N$22,7,1))</f>
      </c>
      <c r="AN19" s="1067">
        <f t="shared" si="9"/>
      </c>
      <c r="AO19" s="1068"/>
    </row>
    <row r="20" spans="1:41" ht="15" customHeight="1">
      <c r="A20" s="62">
        <v>4</v>
      </c>
      <c r="B20" s="576" t="s">
        <v>138</v>
      </c>
      <c r="C20" s="573" t="e">
        <f t="shared" si="0"/>
        <v>#REF!</v>
      </c>
      <c r="D20" s="392" t="s">
        <v>586</v>
      </c>
      <c r="E20" s="39"/>
      <c r="F20" s="62">
        <v>4</v>
      </c>
      <c r="G20" s="576" t="s">
        <v>138</v>
      </c>
      <c r="H20" s="564" t="e">
        <f>ROUNDDOWN($H$7*0.1*X20,0)</f>
        <v>#REF!</v>
      </c>
      <c r="I20" s="66" t="s">
        <v>355</v>
      </c>
      <c r="J20" s="564" t="e">
        <f t="shared" si="1"/>
        <v>#REF!</v>
      </c>
      <c r="K20" s="393">
        <f t="shared" si="10"/>
      </c>
      <c r="L20" s="564" t="e">
        <f t="shared" si="2"/>
        <v>#REF!</v>
      </c>
      <c r="M20" s="393">
        <f t="shared" si="11"/>
      </c>
      <c r="N20" s="564" t="e">
        <f t="shared" si="3"/>
        <v>#REF!</v>
      </c>
      <c r="O20" s="391">
        <f t="shared" si="12"/>
      </c>
      <c r="P20" s="563" t="e">
        <f t="shared" si="4"/>
        <v>#REF!</v>
      </c>
      <c r="Q20" s="391">
        <f t="shared" si="13"/>
      </c>
      <c r="R20" s="563">
        <f t="shared" si="5"/>
      </c>
      <c r="S20" s="392">
        <f t="shared" si="14"/>
      </c>
      <c r="V20" s="62">
        <v>4</v>
      </c>
      <c r="W20" s="576" t="s">
        <v>138</v>
      </c>
      <c r="X20" s="320" t="e">
        <f>HLOOKUP(X4,'経営指標(触らない)'!$D$2:$N$22,8,1)</f>
        <v>#N/A</v>
      </c>
      <c r="Y20" s="1067" t="s">
        <v>586</v>
      </c>
      <c r="Z20" s="1069"/>
      <c r="AA20" s="542">
        <f>IF(AA$5="","",HLOOKUP(AA$4,'経営指標(触らない)'!$D$2:$N$22,8,1))</f>
      </c>
      <c r="AB20" s="1067">
        <f t="shared" si="15"/>
      </c>
      <c r="AC20" s="1067"/>
      <c r="AD20" s="320">
        <f>IF(AD$5="","",HLOOKUP(AD$4,'経営指標(触らない)'!$D$2:$N$22,8,1))</f>
      </c>
      <c r="AE20" s="1067">
        <f t="shared" si="6"/>
      </c>
      <c r="AF20" s="1071"/>
      <c r="AG20" s="542">
        <f>IF(AG$5="","",HLOOKUP(AG$4,'経営指標(触らない)'!$D$2:$N$22,8,1))</f>
      </c>
      <c r="AH20" s="1067">
        <f t="shared" si="7"/>
      </c>
      <c r="AI20" s="1067"/>
      <c r="AJ20" s="320">
        <f>IF(AJ$5="","",HLOOKUP(AJ$4,'経営指標(触らない)'!$D$2:$N$22,8,1))</f>
      </c>
      <c r="AK20" s="1067">
        <f t="shared" si="8"/>
      </c>
      <c r="AL20" s="1071"/>
      <c r="AM20" s="542">
        <f>IF(AM$5="","",HLOOKUP(AM$4,'経営指標(触らない)'!$D$2:$N$22,8,1))</f>
      </c>
      <c r="AN20" s="1067">
        <f t="shared" si="9"/>
      </c>
      <c r="AO20" s="1068"/>
    </row>
    <row r="21" spans="1:41" ht="15" customHeight="1">
      <c r="A21" s="62">
        <v>5</v>
      </c>
      <c r="B21" s="576" t="s">
        <v>139</v>
      </c>
      <c r="C21" s="573" t="e">
        <f t="shared" si="0"/>
        <v>#REF!</v>
      </c>
      <c r="D21" s="392" t="s">
        <v>586</v>
      </c>
      <c r="E21" s="39"/>
      <c r="F21" s="62">
        <v>5</v>
      </c>
      <c r="G21" s="576" t="s">
        <v>139</v>
      </c>
      <c r="H21" s="564" t="e">
        <f>ROUNDDOWN($H$7*0.1*X21,0)</f>
        <v>#REF!</v>
      </c>
      <c r="I21" s="66" t="s">
        <v>355</v>
      </c>
      <c r="J21" s="564" t="e">
        <f t="shared" si="1"/>
        <v>#REF!</v>
      </c>
      <c r="K21" s="393">
        <f t="shared" si="10"/>
      </c>
      <c r="L21" s="564" t="e">
        <f t="shared" si="2"/>
        <v>#REF!</v>
      </c>
      <c r="M21" s="393">
        <f t="shared" si="11"/>
      </c>
      <c r="N21" s="564" t="e">
        <f t="shared" si="3"/>
        <v>#REF!</v>
      </c>
      <c r="O21" s="391">
        <f t="shared" si="12"/>
      </c>
      <c r="P21" s="563" t="e">
        <f t="shared" si="4"/>
        <v>#REF!</v>
      </c>
      <c r="Q21" s="391">
        <f t="shared" si="13"/>
      </c>
      <c r="R21" s="563">
        <f t="shared" si="5"/>
      </c>
      <c r="S21" s="392">
        <f t="shared" si="14"/>
      </c>
      <c r="V21" s="62">
        <v>5</v>
      </c>
      <c r="W21" s="576" t="s">
        <v>139</v>
      </c>
      <c r="X21" s="320" t="e">
        <f>HLOOKUP(X4,'経営指標(触らない)'!$D$2:$N$22,9,1)</f>
        <v>#N/A</v>
      </c>
      <c r="Y21" s="1067" t="s">
        <v>586</v>
      </c>
      <c r="Z21" s="1069"/>
      <c r="AA21" s="542">
        <f>IF(AA$5="","",HLOOKUP(AA$4,'経営指標(触らない)'!$D$2:$N$22,9,1))</f>
      </c>
      <c r="AB21" s="1067">
        <f t="shared" si="15"/>
      </c>
      <c r="AC21" s="1067"/>
      <c r="AD21" s="320">
        <f>IF(AD$5="","",HLOOKUP(AD$4,'経営指標(触らない)'!$D$2:$N$22,9,1))</f>
      </c>
      <c r="AE21" s="1067">
        <f t="shared" si="6"/>
      </c>
      <c r="AF21" s="1071"/>
      <c r="AG21" s="542">
        <f>IF(AG$5="","",HLOOKUP(AG$4,'経営指標(触らない)'!$D$2:$N$22,9,1))</f>
      </c>
      <c r="AH21" s="1067">
        <f t="shared" si="7"/>
      </c>
      <c r="AI21" s="1067"/>
      <c r="AJ21" s="320">
        <f>IF(AJ$5="","",HLOOKUP(AJ$4,'経営指標(触らない)'!$D$2:$N$22,9,1))</f>
      </c>
      <c r="AK21" s="1067">
        <f t="shared" si="8"/>
      </c>
      <c r="AL21" s="1071"/>
      <c r="AM21" s="542">
        <f>IF(AM$5="","",HLOOKUP(AM$4,'経営指標(触らない)'!$D$2:$N$22,9,1))</f>
      </c>
      <c r="AN21" s="1067">
        <f t="shared" si="9"/>
      </c>
      <c r="AO21" s="1068"/>
    </row>
    <row r="22" spans="1:41" ht="15" customHeight="1">
      <c r="A22" s="62">
        <v>6</v>
      </c>
      <c r="B22" s="576" t="s">
        <v>140</v>
      </c>
      <c r="C22" s="573" t="e">
        <f t="shared" si="0"/>
        <v>#REF!</v>
      </c>
      <c r="D22" s="392" t="s">
        <v>586</v>
      </c>
      <c r="E22" s="39"/>
      <c r="F22" s="62">
        <v>6</v>
      </c>
      <c r="G22" s="576" t="s">
        <v>140</v>
      </c>
      <c r="H22" s="564" t="e">
        <f aca="true" t="shared" si="16" ref="H22:H29">ROUNDDOWN($H$7*0.1*X22,0)</f>
        <v>#REF!</v>
      </c>
      <c r="I22" s="66" t="s">
        <v>355</v>
      </c>
      <c r="J22" s="564" t="e">
        <f t="shared" si="1"/>
        <v>#REF!</v>
      </c>
      <c r="K22" s="393">
        <f t="shared" si="10"/>
      </c>
      <c r="L22" s="564" t="e">
        <f t="shared" si="2"/>
        <v>#REF!</v>
      </c>
      <c r="M22" s="393">
        <f t="shared" si="11"/>
      </c>
      <c r="N22" s="564" t="e">
        <f t="shared" si="3"/>
        <v>#REF!</v>
      </c>
      <c r="O22" s="391">
        <f t="shared" si="12"/>
      </c>
      <c r="P22" s="563" t="e">
        <f t="shared" si="4"/>
        <v>#REF!</v>
      </c>
      <c r="Q22" s="391">
        <f t="shared" si="13"/>
      </c>
      <c r="R22" s="563">
        <f t="shared" si="5"/>
      </c>
      <c r="S22" s="392">
        <f t="shared" si="14"/>
      </c>
      <c r="V22" s="62">
        <v>6</v>
      </c>
      <c r="W22" s="576" t="s">
        <v>140</v>
      </c>
      <c r="X22" s="320" t="e">
        <f>HLOOKUP(X4,'経営指標(触らない)'!$D$2:$N$22,10,1)</f>
        <v>#N/A</v>
      </c>
      <c r="Y22" s="1067" t="s">
        <v>586</v>
      </c>
      <c r="Z22" s="1069"/>
      <c r="AA22" s="542">
        <f>IF(AA$5="","",HLOOKUP(AA$4,'経営指標(触らない)'!$D$2:$N$22,10,1))</f>
      </c>
      <c r="AB22" s="1067">
        <f t="shared" si="15"/>
      </c>
      <c r="AC22" s="1067"/>
      <c r="AD22" s="320">
        <f>IF(AD$5="","",HLOOKUP(AD$4,'経営指標(触らない)'!$D$2:$N$22,10,1))</f>
      </c>
      <c r="AE22" s="1067">
        <f t="shared" si="6"/>
      </c>
      <c r="AF22" s="1071"/>
      <c r="AG22" s="542">
        <f>IF(AG$5="","",HLOOKUP(AG$4,'経営指標(触らない)'!$D$2:$N$22,10,1))</f>
      </c>
      <c r="AH22" s="1067">
        <f t="shared" si="7"/>
      </c>
      <c r="AI22" s="1067"/>
      <c r="AJ22" s="320">
        <f>IF(AJ$5="","",HLOOKUP(AJ$4,'経営指標(触らない)'!$D$2:$N$22,10,1))</f>
      </c>
      <c r="AK22" s="1067">
        <f t="shared" si="8"/>
      </c>
      <c r="AL22" s="1071"/>
      <c r="AM22" s="542">
        <f>IF(AM$5="","",HLOOKUP(AM$4,'経営指標(触らない)'!$D$2:$N$22,10,1))</f>
      </c>
      <c r="AN22" s="1067">
        <f t="shared" si="9"/>
      </c>
      <c r="AO22" s="1068"/>
    </row>
    <row r="23" spans="1:41" ht="15" customHeight="1">
      <c r="A23" s="62">
        <v>7</v>
      </c>
      <c r="B23" s="576" t="s">
        <v>141</v>
      </c>
      <c r="C23" s="573" t="e">
        <f t="shared" si="0"/>
        <v>#REF!</v>
      </c>
      <c r="D23" s="392" t="s">
        <v>586</v>
      </c>
      <c r="E23" s="39"/>
      <c r="F23" s="62">
        <v>7</v>
      </c>
      <c r="G23" s="576" t="s">
        <v>141</v>
      </c>
      <c r="H23" s="564" t="e">
        <f t="shared" si="16"/>
        <v>#REF!</v>
      </c>
      <c r="I23" s="66" t="s">
        <v>355</v>
      </c>
      <c r="J23" s="564" t="e">
        <f t="shared" si="1"/>
        <v>#REF!</v>
      </c>
      <c r="K23" s="393">
        <f t="shared" si="10"/>
      </c>
      <c r="L23" s="564" t="e">
        <f t="shared" si="2"/>
        <v>#REF!</v>
      </c>
      <c r="M23" s="393">
        <f t="shared" si="11"/>
      </c>
      <c r="N23" s="564" t="e">
        <f t="shared" si="3"/>
        <v>#REF!</v>
      </c>
      <c r="O23" s="391">
        <f t="shared" si="12"/>
      </c>
      <c r="P23" s="563" t="e">
        <f t="shared" si="4"/>
        <v>#REF!</v>
      </c>
      <c r="Q23" s="391">
        <f t="shared" si="13"/>
      </c>
      <c r="R23" s="563">
        <f t="shared" si="5"/>
      </c>
      <c r="S23" s="392">
        <f t="shared" si="14"/>
      </c>
      <c r="V23" s="62">
        <v>7</v>
      </c>
      <c r="W23" s="576" t="s">
        <v>141</v>
      </c>
      <c r="X23" s="320" t="e">
        <f>HLOOKUP(X4,'経営指標(触らない)'!$D$2:$N$22,11,1)</f>
        <v>#N/A</v>
      </c>
      <c r="Y23" s="1067" t="s">
        <v>586</v>
      </c>
      <c r="Z23" s="1069"/>
      <c r="AA23" s="542">
        <f>IF(AA$5="","",HLOOKUP(AA$4,'経営指標(触らない)'!$D$2:$N$22,11,1))</f>
      </c>
      <c r="AB23" s="1067">
        <f t="shared" si="15"/>
      </c>
      <c r="AC23" s="1067"/>
      <c r="AD23" s="320">
        <f>IF(AD$5="","",HLOOKUP(AD$4,'経営指標(触らない)'!$D$2:$N$22,11,1))</f>
      </c>
      <c r="AE23" s="1067">
        <f t="shared" si="6"/>
      </c>
      <c r="AF23" s="1071"/>
      <c r="AG23" s="542">
        <f>IF(AG$5="","",HLOOKUP(AG$4,'経営指標(触らない)'!$D$2:$N$22,11,1))</f>
      </c>
      <c r="AH23" s="1067">
        <f t="shared" si="7"/>
      </c>
      <c r="AI23" s="1067"/>
      <c r="AJ23" s="320">
        <f>IF(AJ$5="","",HLOOKUP(AJ$4,'経営指標(触らない)'!$D$2:$N$22,11,1))</f>
      </c>
      <c r="AK23" s="1067">
        <f t="shared" si="8"/>
      </c>
      <c r="AL23" s="1071"/>
      <c r="AM23" s="542">
        <f>IF(AM$5="","",HLOOKUP(AM$4,'経営指標(触らない)'!$D$2:$N$22,11,1))</f>
      </c>
      <c r="AN23" s="1067">
        <f t="shared" si="9"/>
      </c>
      <c r="AO23" s="1068"/>
    </row>
    <row r="24" spans="1:41" ht="15" customHeight="1">
      <c r="A24" s="1079" t="s">
        <v>142</v>
      </c>
      <c r="B24" s="576" t="s">
        <v>143</v>
      </c>
      <c r="C24" s="573" t="e">
        <f t="shared" si="0"/>
        <v>#REF!</v>
      </c>
      <c r="D24" s="392" t="s">
        <v>586</v>
      </c>
      <c r="E24" s="39"/>
      <c r="F24" s="1079" t="s">
        <v>142</v>
      </c>
      <c r="G24" s="576" t="s">
        <v>143</v>
      </c>
      <c r="H24" s="564" t="e">
        <f t="shared" si="16"/>
        <v>#REF!</v>
      </c>
      <c r="I24" s="66" t="s">
        <v>355</v>
      </c>
      <c r="J24" s="564" t="e">
        <f t="shared" si="1"/>
        <v>#REF!</v>
      </c>
      <c r="K24" s="393">
        <f t="shared" si="10"/>
      </c>
      <c r="L24" s="564" t="e">
        <f t="shared" si="2"/>
        <v>#REF!</v>
      </c>
      <c r="M24" s="393">
        <f t="shared" si="11"/>
      </c>
      <c r="N24" s="564" t="e">
        <f t="shared" si="3"/>
        <v>#REF!</v>
      </c>
      <c r="O24" s="391">
        <f t="shared" si="12"/>
      </c>
      <c r="P24" s="563" t="e">
        <f t="shared" si="4"/>
        <v>#REF!</v>
      </c>
      <c r="Q24" s="391">
        <f t="shared" si="13"/>
      </c>
      <c r="R24" s="563">
        <f t="shared" si="5"/>
      </c>
      <c r="S24" s="392">
        <f t="shared" si="14"/>
      </c>
      <c r="V24" s="1082" t="s">
        <v>142</v>
      </c>
      <c r="W24" s="576" t="s">
        <v>143</v>
      </c>
      <c r="X24" s="320" t="e">
        <f>HLOOKUP(X4,'経営指標(触らない)'!$D$2:$N$22,12,1)</f>
        <v>#N/A</v>
      </c>
      <c r="Y24" s="1067" t="s">
        <v>586</v>
      </c>
      <c r="Z24" s="1069"/>
      <c r="AA24" s="542">
        <f>IF(AA$5="","",HLOOKUP(AA$4,'経営指標(触らない)'!$D$2:$N$22,12,1))</f>
      </c>
      <c r="AB24" s="1067">
        <f t="shared" si="15"/>
      </c>
      <c r="AC24" s="1067"/>
      <c r="AD24" s="320">
        <f>IF(AD$5="","",HLOOKUP(AD$4,'経営指標(触らない)'!$D$2:$N$22,12,1))</f>
      </c>
      <c r="AE24" s="1067">
        <f t="shared" si="6"/>
      </c>
      <c r="AF24" s="1071"/>
      <c r="AG24" s="542">
        <f>IF(AG$5="","",HLOOKUP(AG$4,'経営指標(触らない)'!$D$2:$N$22,12,1))</f>
      </c>
      <c r="AH24" s="1067">
        <f t="shared" si="7"/>
      </c>
      <c r="AI24" s="1067"/>
      <c r="AJ24" s="320">
        <f>IF(AJ$5="","",HLOOKUP(AJ$4,'経営指標(触らない)'!$D$2:$N$22,12,1))</f>
      </c>
      <c r="AK24" s="1067">
        <f t="shared" si="8"/>
      </c>
      <c r="AL24" s="1071"/>
      <c r="AM24" s="542">
        <f>IF(AM$5="","",HLOOKUP(AM$4,'経営指標(触らない)'!$D$2:$N$22,12,1))</f>
      </c>
      <c r="AN24" s="1067">
        <f t="shared" si="9"/>
      </c>
      <c r="AO24" s="1068"/>
    </row>
    <row r="25" spans="1:41" ht="15" customHeight="1">
      <c r="A25" s="1080"/>
      <c r="B25" s="576" t="s">
        <v>144</v>
      </c>
      <c r="C25" s="573" t="e">
        <f t="shared" si="0"/>
        <v>#REF!</v>
      </c>
      <c r="D25" s="392" t="s">
        <v>586</v>
      </c>
      <c r="E25" s="39"/>
      <c r="F25" s="1080"/>
      <c r="G25" s="576" t="s">
        <v>144</v>
      </c>
      <c r="H25" s="564" t="e">
        <f t="shared" si="16"/>
        <v>#REF!</v>
      </c>
      <c r="I25" s="66" t="s">
        <v>355</v>
      </c>
      <c r="J25" s="564" t="e">
        <f t="shared" si="1"/>
        <v>#REF!</v>
      </c>
      <c r="K25" s="393">
        <f t="shared" si="10"/>
      </c>
      <c r="L25" s="564" t="e">
        <f t="shared" si="2"/>
        <v>#REF!</v>
      </c>
      <c r="M25" s="393">
        <f t="shared" si="11"/>
      </c>
      <c r="N25" s="564" t="e">
        <f t="shared" si="3"/>
        <v>#REF!</v>
      </c>
      <c r="O25" s="391">
        <f t="shared" si="12"/>
      </c>
      <c r="P25" s="563" t="e">
        <f t="shared" si="4"/>
        <v>#REF!</v>
      </c>
      <c r="Q25" s="391">
        <f t="shared" si="13"/>
      </c>
      <c r="R25" s="563">
        <f t="shared" si="5"/>
      </c>
      <c r="S25" s="392">
        <f t="shared" si="14"/>
      </c>
      <c r="V25" s="1082"/>
      <c r="W25" s="576" t="s">
        <v>144</v>
      </c>
      <c r="X25" s="320" t="e">
        <f>HLOOKUP(X4,'経営指標(触らない)'!$D$2:$N$22,13,1)</f>
        <v>#N/A</v>
      </c>
      <c r="Y25" s="1067" t="s">
        <v>586</v>
      </c>
      <c r="Z25" s="1069"/>
      <c r="AA25" s="542">
        <f>IF(AA$5="","",HLOOKUP(AA$4,'経営指標(触らない)'!$D$2:$N$22,13,1))</f>
      </c>
      <c r="AB25" s="1067">
        <f t="shared" si="15"/>
      </c>
      <c r="AC25" s="1067"/>
      <c r="AD25" s="320">
        <f>IF(AD$5="","",HLOOKUP(AD$4,'経営指標(触らない)'!$D$2:$N$22,13,1))</f>
      </c>
      <c r="AE25" s="1067">
        <f t="shared" si="6"/>
      </c>
      <c r="AF25" s="1071"/>
      <c r="AG25" s="542">
        <f>IF(AG$5="","",HLOOKUP(AG$4,'経営指標(触らない)'!$D$2:$N$22,13,1))</f>
      </c>
      <c r="AH25" s="1067">
        <f t="shared" si="7"/>
      </c>
      <c r="AI25" s="1067"/>
      <c r="AJ25" s="320">
        <f>IF(AJ$5="","",HLOOKUP(AJ$4,'経営指標(触らない)'!$D$2:$N$22,13,1))</f>
      </c>
      <c r="AK25" s="1067">
        <f t="shared" si="8"/>
      </c>
      <c r="AL25" s="1071"/>
      <c r="AM25" s="542">
        <f>IF(AM$5="","",HLOOKUP(AM$4,'経営指標(触らない)'!$D$2:$N$22,13,1))</f>
      </c>
      <c r="AN25" s="1067">
        <f t="shared" si="9"/>
      </c>
      <c r="AO25" s="1068"/>
    </row>
    <row r="26" spans="1:41" ht="15" customHeight="1">
      <c r="A26" s="1081"/>
      <c r="B26" s="576" t="s">
        <v>145</v>
      </c>
      <c r="C26" s="573" t="e">
        <f t="shared" si="0"/>
        <v>#REF!</v>
      </c>
      <c r="D26" s="392" t="s">
        <v>586</v>
      </c>
      <c r="E26" s="39"/>
      <c r="F26" s="1081"/>
      <c r="G26" s="576" t="s">
        <v>145</v>
      </c>
      <c r="H26" s="564" t="e">
        <f t="shared" si="16"/>
        <v>#REF!</v>
      </c>
      <c r="I26" s="66" t="s">
        <v>355</v>
      </c>
      <c r="J26" s="564" t="e">
        <f t="shared" si="1"/>
        <v>#REF!</v>
      </c>
      <c r="K26" s="393">
        <f t="shared" si="10"/>
      </c>
      <c r="L26" s="564" t="e">
        <f t="shared" si="2"/>
        <v>#REF!</v>
      </c>
      <c r="M26" s="393">
        <f t="shared" si="11"/>
      </c>
      <c r="N26" s="564" t="e">
        <f t="shared" si="3"/>
        <v>#REF!</v>
      </c>
      <c r="O26" s="391">
        <f t="shared" si="12"/>
      </c>
      <c r="P26" s="563" t="e">
        <f t="shared" si="4"/>
        <v>#REF!</v>
      </c>
      <c r="Q26" s="391">
        <f t="shared" si="13"/>
      </c>
      <c r="R26" s="563">
        <f t="shared" si="5"/>
      </c>
      <c r="S26" s="392">
        <f t="shared" si="14"/>
      </c>
      <c r="V26" s="1082"/>
      <c r="W26" s="576" t="s">
        <v>145</v>
      </c>
      <c r="X26" s="320" t="e">
        <f>HLOOKUP(X4,'経営指標(触らない)'!$D$2:$N$22,14,1)</f>
        <v>#N/A</v>
      </c>
      <c r="Y26" s="1067" t="s">
        <v>586</v>
      </c>
      <c r="Z26" s="1069"/>
      <c r="AA26" s="542">
        <f>IF(AA$5="","",HLOOKUP(AA$4,'経営指標(触らない)'!$D$2:$N$22,14,1))</f>
      </c>
      <c r="AB26" s="1067">
        <f t="shared" si="15"/>
      </c>
      <c r="AC26" s="1067"/>
      <c r="AD26" s="320">
        <f>IF(AD$5="","",HLOOKUP(AD$4,'経営指標(触らない)'!$D$2:$N$22,14,1))</f>
      </c>
      <c r="AE26" s="1067">
        <f t="shared" si="6"/>
      </c>
      <c r="AF26" s="1071"/>
      <c r="AG26" s="542">
        <f>IF(AG$5="","",HLOOKUP(AG$4,'経営指標(触らない)'!$D$2:$N$22,14,1))</f>
      </c>
      <c r="AH26" s="1067">
        <f t="shared" si="7"/>
      </c>
      <c r="AI26" s="1067"/>
      <c r="AJ26" s="320">
        <f>IF(AJ$5="","",HLOOKUP(AJ$4,'経営指標(触らない)'!$D$2:$N$22,14,1))</f>
      </c>
      <c r="AK26" s="1067">
        <f t="shared" si="8"/>
      </c>
      <c r="AL26" s="1071"/>
      <c r="AM26" s="542">
        <f>IF(AM$5="","",HLOOKUP(AM$4,'経営指標(触らない)'!$D$2:$N$22,14,1))</f>
      </c>
      <c r="AN26" s="1067">
        <f t="shared" si="9"/>
      </c>
      <c r="AO26" s="1068"/>
    </row>
    <row r="27" spans="1:41" ht="15" customHeight="1">
      <c r="A27" s="62"/>
      <c r="B27" s="577" t="s">
        <v>146</v>
      </c>
      <c r="C27" s="573" t="e">
        <f t="shared" si="0"/>
        <v>#REF!</v>
      </c>
      <c r="D27" s="392" t="s">
        <v>586</v>
      </c>
      <c r="E27" s="39"/>
      <c r="F27" s="62"/>
      <c r="G27" s="577" t="s">
        <v>146</v>
      </c>
      <c r="H27" s="564" t="e">
        <f>ROUNDDOWN($H$7*0.1*X27,0)</f>
        <v>#REF!</v>
      </c>
      <c r="I27" s="66" t="s">
        <v>355</v>
      </c>
      <c r="J27" s="564" t="e">
        <f t="shared" si="1"/>
        <v>#REF!</v>
      </c>
      <c r="K27" s="393">
        <f t="shared" si="10"/>
      </c>
      <c r="L27" s="564" t="e">
        <f t="shared" si="2"/>
        <v>#REF!</v>
      </c>
      <c r="M27" s="393">
        <f t="shared" si="11"/>
      </c>
      <c r="N27" s="564" t="e">
        <f t="shared" si="3"/>
        <v>#REF!</v>
      </c>
      <c r="O27" s="391">
        <f t="shared" si="12"/>
      </c>
      <c r="P27" s="563" t="e">
        <f t="shared" si="4"/>
        <v>#REF!</v>
      </c>
      <c r="Q27" s="391">
        <f t="shared" si="13"/>
      </c>
      <c r="R27" s="563">
        <f t="shared" si="5"/>
      </c>
      <c r="S27" s="392">
        <f t="shared" si="14"/>
      </c>
      <c r="V27" s="62"/>
      <c r="W27" s="577" t="s">
        <v>146</v>
      </c>
      <c r="X27" s="320" t="e">
        <f>HLOOKUP(X4,'経営指標(触らない)'!$D$2:$N$22,15,1)</f>
        <v>#N/A</v>
      </c>
      <c r="Y27" s="1067" t="s">
        <v>586</v>
      </c>
      <c r="Z27" s="1069"/>
      <c r="AA27" s="542">
        <f>IF(AA$5="","",HLOOKUP(AA$4,'経営指標(触らない)'!$D$2:$N$22,15,1))</f>
      </c>
      <c r="AB27" s="1067">
        <f t="shared" si="15"/>
      </c>
      <c r="AC27" s="1067"/>
      <c r="AD27" s="320">
        <f>IF(AD$5="","",HLOOKUP(AD$4,'経営指標(触らない)'!$D$2:$N$22,15,1))</f>
      </c>
      <c r="AE27" s="1067">
        <f t="shared" si="6"/>
      </c>
      <c r="AF27" s="1071"/>
      <c r="AG27" s="542">
        <f>IF(AG$5="","",HLOOKUP(AG$4,'経営指標(触らない)'!$D$2:$N$22,15,1))</f>
      </c>
      <c r="AH27" s="1067">
        <f t="shared" si="7"/>
      </c>
      <c r="AI27" s="1067"/>
      <c r="AJ27" s="320">
        <f>IF(AJ$5="","",HLOOKUP(AJ$4,'経営指標(触らない)'!$D$2:$N$22,15,1))</f>
      </c>
      <c r="AK27" s="1067">
        <f t="shared" si="8"/>
      </c>
      <c r="AL27" s="1071"/>
      <c r="AM27" s="542">
        <f>IF(AM$5="","",HLOOKUP(AM$4,'経営指標(触らない)'!$D$2:$N$22,15,1))</f>
      </c>
      <c r="AN27" s="1067">
        <f t="shared" si="9"/>
      </c>
      <c r="AO27" s="1068"/>
    </row>
    <row r="28" spans="1:41" ht="15" customHeight="1">
      <c r="A28" s="62"/>
      <c r="B28" s="576"/>
      <c r="C28" s="573" t="e">
        <f t="shared" si="0"/>
        <v>#REF!</v>
      </c>
      <c r="D28" s="392" t="s">
        <v>586</v>
      </c>
      <c r="E28" s="39"/>
      <c r="F28" s="62"/>
      <c r="G28" s="576"/>
      <c r="H28" s="564" t="e">
        <f t="shared" si="16"/>
        <v>#REF!</v>
      </c>
      <c r="I28" s="66" t="s">
        <v>355</v>
      </c>
      <c r="J28" s="564" t="e">
        <f t="shared" si="1"/>
        <v>#REF!</v>
      </c>
      <c r="K28" s="393">
        <f t="shared" si="10"/>
      </c>
      <c r="L28" s="564" t="e">
        <f t="shared" si="2"/>
        <v>#REF!</v>
      </c>
      <c r="M28" s="393">
        <f t="shared" si="11"/>
      </c>
      <c r="N28" s="564" t="e">
        <f t="shared" si="3"/>
        <v>#REF!</v>
      </c>
      <c r="O28" s="391">
        <f t="shared" si="12"/>
      </c>
      <c r="P28" s="563" t="e">
        <f t="shared" si="4"/>
        <v>#REF!</v>
      </c>
      <c r="Q28" s="391">
        <f t="shared" si="13"/>
      </c>
      <c r="R28" s="563">
        <f t="shared" si="5"/>
      </c>
      <c r="S28" s="392">
        <f t="shared" si="14"/>
      </c>
      <c r="V28" s="62"/>
      <c r="W28" s="576"/>
      <c r="X28" s="320" t="e">
        <f>HLOOKUP(X4,'経営指標(触らない)'!$D$2:$N$22,16,1)</f>
        <v>#N/A</v>
      </c>
      <c r="Y28" s="1067" t="s">
        <v>586</v>
      </c>
      <c r="Z28" s="1069"/>
      <c r="AA28" s="542">
        <f>IF(AA$5="","",HLOOKUP(AA$4,'経営指標(触らない)'!$D$2:$N$22,16,1))</f>
      </c>
      <c r="AB28" s="1067">
        <f t="shared" si="15"/>
      </c>
      <c r="AC28" s="1067"/>
      <c r="AD28" s="320">
        <f>IF(AD$5="","",HLOOKUP(AD$4,'経営指標(触らない)'!$D$2:$N$22,16,1))</f>
      </c>
      <c r="AE28" s="1067">
        <f t="shared" si="6"/>
      </c>
      <c r="AF28" s="1071"/>
      <c r="AG28" s="542">
        <f>IF(AG$5="","",HLOOKUP(AG$4,'経営指標(触らない)'!$D$2:$N$22,16,1))</f>
      </c>
      <c r="AH28" s="1067">
        <f t="shared" si="7"/>
      </c>
      <c r="AI28" s="1067"/>
      <c r="AJ28" s="320">
        <f>IF(AJ$5="","",HLOOKUP(AJ$4,'経営指標(触らない)'!$D$2:$N$22,16,1))</f>
      </c>
      <c r="AK28" s="1067">
        <f t="shared" si="8"/>
      </c>
      <c r="AL28" s="1071"/>
      <c r="AM28" s="542">
        <f>IF(AM$5="","",HLOOKUP(AM$4,'経営指標(触らない)'!$D$2:$N$22,16,1))</f>
      </c>
      <c r="AN28" s="1067">
        <f t="shared" si="9"/>
      </c>
      <c r="AO28" s="1068"/>
    </row>
    <row r="29" spans="1:41" ht="15" customHeight="1">
      <c r="A29" s="62"/>
      <c r="B29" s="576" t="s">
        <v>147</v>
      </c>
      <c r="C29" s="573" t="e">
        <f t="shared" si="0"/>
        <v>#REF!</v>
      </c>
      <c r="D29" s="392" t="s">
        <v>586</v>
      </c>
      <c r="E29" s="39"/>
      <c r="F29" s="62"/>
      <c r="G29" s="576" t="s">
        <v>147</v>
      </c>
      <c r="H29" s="564" t="e">
        <f t="shared" si="16"/>
        <v>#REF!</v>
      </c>
      <c r="I29" s="66" t="s">
        <v>355</v>
      </c>
      <c r="J29" s="564" t="e">
        <f t="shared" si="1"/>
        <v>#REF!</v>
      </c>
      <c r="K29" s="393">
        <f t="shared" si="10"/>
      </c>
      <c r="L29" s="564" t="e">
        <f t="shared" si="2"/>
        <v>#REF!</v>
      </c>
      <c r="M29" s="393">
        <f t="shared" si="11"/>
      </c>
      <c r="N29" s="564" t="e">
        <f t="shared" si="3"/>
        <v>#REF!</v>
      </c>
      <c r="O29" s="391">
        <f t="shared" si="12"/>
      </c>
      <c r="P29" s="563" t="e">
        <f t="shared" si="4"/>
        <v>#REF!</v>
      </c>
      <c r="Q29" s="391">
        <f t="shared" si="13"/>
      </c>
      <c r="R29" s="563">
        <f t="shared" si="5"/>
      </c>
      <c r="S29" s="392">
        <f t="shared" si="14"/>
      </c>
      <c r="V29" s="62"/>
      <c r="W29" s="576" t="s">
        <v>147</v>
      </c>
      <c r="X29" s="320" t="e">
        <f>HLOOKUP(X4,'経営指標(触らない)'!$D$2:$N$22,17,1)</f>
        <v>#N/A</v>
      </c>
      <c r="Y29" s="1067" t="s">
        <v>586</v>
      </c>
      <c r="Z29" s="1069"/>
      <c r="AA29" s="542">
        <f>IF(AA$5="","",HLOOKUP(AA$4,'経営指標(触らない)'!$D$2:$N$22,17,1))</f>
      </c>
      <c r="AB29" s="1067">
        <f t="shared" si="15"/>
      </c>
      <c r="AC29" s="1067"/>
      <c r="AD29" s="320">
        <f>IF(AD$5="","",HLOOKUP(AD$4,'経営指標(触らない)'!$D$2:$N$22,17,1))</f>
      </c>
      <c r="AE29" s="1067">
        <f t="shared" si="6"/>
      </c>
      <c r="AF29" s="1071"/>
      <c r="AG29" s="542">
        <f>IF(AG$5="","",HLOOKUP(AG$4,'経営指標(触らない)'!$D$2:$N$22,17,1))</f>
      </c>
      <c r="AH29" s="1067">
        <f t="shared" si="7"/>
      </c>
      <c r="AI29" s="1067"/>
      <c r="AJ29" s="320">
        <f>IF(AJ$5="","",HLOOKUP(AJ$4,'経営指標(触らない)'!$D$2:$N$22,17,1))</f>
      </c>
      <c r="AK29" s="1067">
        <f t="shared" si="8"/>
      </c>
      <c r="AL29" s="1071"/>
      <c r="AM29" s="542">
        <f>IF(AM$5="","",HLOOKUP(AM$4,'経営指標(触らない)'!$D$2:$N$22,17,1))</f>
      </c>
      <c r="AN29" s="1067">
        <f t="shared" si="9"/>
      </c>
      <c r="AO29" s="1068"/>
    </row>
    <row r="30" spans="1:41" ht="15" customHeight="1">
      <c r="A30" s="1085" t="s">
        <v>76</v>
      </c>
      <c r="B30" s="1086"/>
      <c r="C30" s="573" t="e">
        <f t="shared" si="0"/>
        <v>#REF!</v>
      </c>
      <c r="D30" s="392" t="s">
        <v>586</v>
      </c>
      <c r="E30" s="39"/>
      <c r="F30" s="1085" t="s">
        <v>76</v>
      </c>
      <c r="G30" s="1086"/>
      <c r="H30" s="564" t="e">
        <f>SUM(H31:H33)</f>
        <v>#REF!</v>
      </c>
      <c r="I30" s="66" t="s">
        <v>355</v>
      </c>
      <c r="J30" s="564" t="e">
        <f>IF(J$7="","",SUM(J31:J33))</f>
        <v>#REF!</v>
      </c>
      <c r="K30" s="393">
        <f t="shared" si="10"/>
      </c>
      <c r="L30" s="564" t="e">
        <f>IF(L$7="","",SUM(L31:L33))</f>
        <v>#REF!</v>
      </c>
      <c r="M30" s="393">
        <f t="shared" si="11"/>
      </c>
      <c r="N30" s="564" t="e">
        <f>IF(N$7="","",SUM(N31:N33))</f>
        <v>#REF!</v>
      </c>
      <c r="O30" s="391">
        <f t="shared" si="12"/>
      </c>
      <c r="P30" s="563" t="e">
        <f>IF(P$7="","",SUM(P31:P33))</f>
        <v>#REF!</v>
      </c>
      <c r="Q30" s="391">
        <f t="shared" si="13"/>
      </c>
      <c r="R30" s="563">
        <f>IF(R$7="","",SUM(R31:R33))</f>
      </c>
      <c r="S30" s="392">
        <f t="shared" si="14"/>
      </c>
      <c r="V30" s="1083" t="s">
        <v>76</v>
      </c>
      <c r="W30" s="1084"/>
      <c r="X30" s="320" t="e">
        <f>IF(SUM(X31:X33)="","",SUM(X31:X33))</f>
        <v>#N/A</v>
      </c>
      <c r="Y30" s="1067" t="s">
        <v>586</v>
      </c>
      <c r="Z30" s="1069"/>
      <c r="AA30" s="542">
        <f>IF(SUM(AA31:AA33)=0,"",SUM(AA31:AA33))</f>
      </c>
      <c r="AB30" s="1067">
        <f t="shared" si="15"/>
      </c>
      <c r="AC30" s="1067"/>
      <c r="AD30" s="320">
        <f>IF(SUM(AD31:AD33)=0,"",SUM(AD31:AD33))</f>
      </c>
      <c r="AE30" s="1067">
        <f t="shared" si="6"/>
      </c>
      <c r="AF30" s="1071"/>
      <c r="AG30" s="542">
        <f>IF(SUM(AG31:AG33)=0,"",SUM(AG31:AG33))</f>
      </c>
      <c r="AH30" s="1067">
        <f t="shared" si="7"/>
      </c>
      <c r="AI30" s="1067"/>
      <c r="AJ30" s="320">
        <f>IF(SUM(AJ31:AJ33)=0,"",SUM(AJ31:AJ33))</f>
      </c>
      <c r="AK30" s="1067">
        <f t="shared" si="8"/>
      </c>
      <c r="AL30" s="1071"/>
      <c r="AM30" s="542">
        <f>IF(SUM(AM31:AM33)=0,"",SUM(AM31:AM33))</f>
      </c>
      <c r="AN30" s="1067">
        <f t="shared" si="9"/>
      </c>
      <c r="AO30" s="1068"/>
    </row>
    <row r="31" spans="1:41" ht="15" customHeight="1">
      <c r="A31" s="1087" t="s">
        <v>148</v>
      </c>
      <c r="B31" s="576" t="s">
        <v>149</v>
      </c>
      <c r="C31" s="580" t="e">
        <f t="shared" si="0"/>
        <v>#REF!</v>
      </c>
      <c r="D31" s="392" t="s">
        <v>586</v>
      </c>
      <c r="E31" s="39"/>
      <c r="F31" s="1087" t="s">
        <v>148</v>
      </c>
      <c r="G31" s="576" t="s">
        <v>149</v>
      </c>
      <c r="H31" s="578" t="e">
        <f>ROUNDDOWN($H$7*0.1*X31,0)</f>
        <v>#REF!</v>
      </c>
      <c r="I31" s="66" t="s">
        <v>355</v>
      </c>
      <c r="J31" s="578" t="e">
        <f>IF(J$7="","",ROUNDDOWN($J$7*0.1*AA31,0))</f>
        <v>#REF!</v>
      </c>
      <c r="K31" s="393">
        <f t="shared" si="10"/>
      </c>
      <c r="L31" s="578" t="e">
        <f>IF(L$7="","",ROUNDDOWN(L$7*0.1*AD31,0))</f>
        <v>#REF!</v>
      </c>
      <c r="M31" s="393">
        <f t="shared" si="11"/>
      </c>
      <c r="N31" s="578" t="e">
        <f>IF(N$7="","",ROUNDDOWN(N$7*0.1*AG31,0))</f>
        <v>#REF!</v>
      </c>
      <c r="O31" s="391">
        <f t="shared" si="12"/>
      </c>
      <c r="P31" s="579" t="e">
        <f>IF(P$7="","",ROUNDDOWN(P$7*0.1*AJ31,0))</f>
        <v>#REF!</v>
      </c>
      <c r="Q31" s="391">
        <f t="shared" si="13"/>
      </c>
      <c r="R31" s="579">
        <f>IF(R$7="","",ROUNDDOWN(R$7*0.1*AM31,0))</f>
      </c>
      <c r="S31" s="392">
        <f t="shared" si="14"/>
      </c>
      <c r="V31" s="1098" t="s">
        <v>148</v>
      </c>
      <c r="W31" s="576" t="s">
        <v>149</v>
      </c>
      <c r="X31" s="323" t="e">
        <f>HLOOKUP(X4,'経営指標(触らない)'!$D$2:$N$22,19,1)</f>
        <v>#N/A</v>
      </c>
      <c r="Y31" s="1067" t="s">
        <v>586</v>
      </c>
      <c r="Z31" s="1069"/>
      <c r="AA31" s="543">
        <f>IF(AA$5="","",HLOOKUP(AA$4,'経営指標(触らない)'!$D$2:$N$22,19,1))</f>
      </c>
      <c r="AB31" s="1067">
        <f t="shared" si="15"/>
      </c>
      <c r="AC31" s="1067"/>
      <c r="AD31" s="323">
        <f>IF(AD$5="","",HLOOKUP(AD$4,'経営指標(触らない)'!$D$2:$N$22,19,1))</f>
      </c>
      <c r="AE31" s="1067">
        <f t="shared" si="6"/>
      </c>
      <c r="AF31" s="1071"/>
      <c r="AG31" s="543">
        <f>IF(AG$5="","",HLOOKUP(AG$4,'経営指標(触らない)'!$D$2:$N$22,19,1))</f>
      </c>
      <c r="AH31" s="1067">
        <f t="shared" si="7"/>
      </c>
      <c r="AI31" s="1067"/>
      <c r="AJ31" s="323">
        <f>IF(AJ$5="","",HLOOKUP(AJ$4,'経営指標(触らない)'!$D$2:$N$22,19,1))</f>
      </c>
      <c r="AK31" s="1067">
        <f t="shared" si="8"/>
      </c>
      <c r="AL31" s="1071"/>
      <c r="AM31" s="543">
        <f>IF(AM$5="","",HLOOKUP(AM$4,'経営指標(触らない)'!$D$2:$N$22,19,1))</f>
      </c>
      <c r="AN31" s="1067">
        <f t="shared" si="9"/>
      </c>
      <c r="AO31" s="1068"/>
    </row>
    <row r="32" spans="1:41" ht="15" customHeight="1">
      <c r="A32" s="1088"/>
      <c r="B32" s="576" t="s">
        <v>150</v>
      </c>
      <c r="C32" s="580" t="e">
        <f t="shared" si="0"/>
        <v>#REF!</v>
      </c>
      <c r="D32" s="392" t="s">
        <v>586</v>
      </c>
      <c r="E32" s="39"/>
      <c r="F32" s="1088"/>
      <c r="G32" s="576" t="s">
        <v>150</v>
      </c>
      <c r="H32" s="578" t="e">
        <f>ROUNDDOWN($H$7*0.1*X32,0)</f>
        <v>#REF!</v>
      </c>
      <c r="I32" s="66" t="s">
        <v>355</v>
      </c>
      <c r="J32" s="578" t="e">
        <f>IF(J$7="","",ROUNDDOWN($J$7*0.1*AA32,0))</f>
        <v>#REF!</v>
      </c>
      <c r="K32" s="393">
        <f t="shared" si="10"/>
      </c>
      <c r="L32" s="578" t="e">
        <f>IF(L$7="","",ROUNDDOWN(L$7*0.1*AD32,0))</f>
        <v>#REF!</v>
      </c>
      <c r="M32" s="393">
        <f t="shared" si="11"/>
      </c>
      <c r="N32" s="578" t="e">
        <f>IF(N$7="","",ROUNDDOWN(N$7*0.1*AG32,0))</f>
        <v>#REF!</v>
      </c>
      <c r="O32" s="391">
        <f t="shared" si="12"/>
      </c>
      <c r="P32" s="579" t="e">
        <f>IF(P$7="","",ROUNDDOWN(P$7*0.1*AJ32,0))</f>
        <v>#REF!</v>
      </c>
      <c r="Q32" s="391">
        <f t="shared" si="13"/>
      </c>
      <c r="R32" s="579">
        <f>IF(R$7="","",ROUNDDOWN(R$7*0.1*AM32,0))</f>
      </c>
      <c r="S32" s="392">
        <f t="shared" si="14"/>
      </c>
      <c r="V32" s="1099"/>
      <c r="W32" s="576" t="s">
        <v>150</v>
      </c>
      <c r="X32" s="323" t="e">
        <f>HLOOKUP(X4,'経営指標(触らない)'!$D$2:$N$22,20,1)</f>
        <v>#N/A</v>
      </c>
      <c r="Y32" s="1067" t="s">
        <v>586</v>
      </c>
      <c r="Z32" s="1069"/>
      <c r="AA32" s="543">
        <f>IF(AA$5="","",HLOOKUP(AA$4,'経営指標(触らない)'!$D$2:$N$22,20,1))</f>
      </c>
      <c r="AB32" s="1067">
        <f t="shared" si="15"/>
      </c>
      <c r="AC32" s="1067"/>
      <c r="AD32" s="323">
        <f>IF(AD$5="","",HLOOKUP(AD$4,'経営指標(触らない)'!$D$2:$N$22,20,1))</f>
      </c>
      <c r="AE32" s="1067">
        <f t="shared" si="6"/>
      </c>
      <c r="AF32" s="1071"/>
      <c r="AG32" s="543">
        <f>IF(AG$5="","",HLOOKUP(AG$4,'経営指標(触らない)'!$D$2:$N$22,20,1))</f>
      </c>
      <c r="AH32" s="1067">
        <f t="shared" si="7"/>
      </c>
      <c r="AI32" s="1067"/>
      <c r="AJ32" s="323">
        <f>IF(AJ$5="","",HLOOKUP(AJ$4,'経営指標(触らない)'!$D$2:$N$22,20,1))</f>
      </c>
      <c r="AK32" s="1067">
        <f t="shared" si="8"/>
      </c>
      <c r="AL32" s="1071"/>
      <c r="AM32" s="543">
        <f>IF(AM$5="","",HLOOKUP(AM$4,'経営指標(触らない)'!$D$2:$N$22,20,1))</f>
      </c>
      <c r="AN32" s="1067">
        <f t="shared" si="9"/>
      </c>
      <c r="AO32" s="1068"/>
    </row>
    <row r="33" spans="1:41" ht="15" customHeight="1">
      <c r="A33" s="1089"/>
      <c r="B33" s="585" t="s">
        <v>151</v>
      </c>
      <c r="C33" s="584" t="e">
        <f t="shared" si="0"/>
        <v>#REF!</v>
      </c>
      <c r="D33" s="395" t="s">
        <v>586</v>
      </c>
      <c r="E33" s="39"/>
      <c r="F33" s="1089"/>
      <c r="G33" s="585" t="s">
        <v>151</v>
      </c>
      <c r="H33" s="588" t="e">
        <f>ROUNDDOWN($H$7*0.1*X33,0)</f>
        <v>#REF!</v>
      </c>
      <c r="I33" s="67" t="s">
        <v>355</v>
      </c>
      <c r="J33" s="588" t="e">
        <f>IF(J$7="","",ROUNDDOWN($J$7*0.1*AA33,0))</f>
        <v>#REF!</v>
      </c>
      <c r="K33" s="396">
        <f t="shared" si="10"/>
      </c>
      <c r="L33" s="588" t="e">
        <f>IF(L$7="","",ROUNDDOWN(L$7*0.1*AD33,0))</f>
        <v>#REF!</v>
      </c>
      <c r="M33" s="396">
        <f t="shared" si="11"/>
      </c>
      <c r="N33" s="588" t="e">
        <f>IF(N$7="","",ROUNDDOWN(N$7*0.1*AG33,0))</f>
        <v>#REF!</v>
      </c>
      <c r="O33" s="394">
        <f t="shared" si="12"/>
      </c>
      <c r="P33" s="581" t="e">
        <f>IF(P$7="","",ROUNDDOWN(P$7*0.1*AJ33,0))</f>
        <v>#REF!</v>
      </c>
      <c r="Q33" s="394">
        <f t="shared" si="13"/>
      </c>
      <c r="R33" s="581">
        <f>IF(R$7="","",ROUNDDOWN(R$7*0.1*AM33,0))</f>
      </c>
      <c r="S33" s="395">
        <f t="shared" si="14"/>
      </c>
      <c r="V33" s="1100"/>
      <c r="W33" s="585" t="s">
        <v>151</v>
      </c>
      <c r="X33" s="555" t="e">
        <f>HLOOKUP(X4,'経営指標(触らない)'!$D$2:$N$22,21,1)</f>
        <v>#N/A</v>
      </c>
      <c r="Y33" s="1090" t="s">
        <v>586</v>
      </c>
      <c r="Z33" s="1091"/>
      <c r="AA33" s="551">
        <f>IF(AA$5="","",HLOOKUP(AA$4,'経営指標(触らない)'!$D$2:$N$22,21,1))</f>
      </c>
      <c r="AB33" s="1090">
        <f t="shared" si="15"/>
      </c>
      <c r="AC33" s="1090"/>
      <c r="AD33" s="555">
        <f>IF(AD$5="","",HLOOKUP(AD$4,'経営指標(触らない)'!$D$2:$N$22,21,1))</f>
      </c>
      <c r="AE33" s="1090">
        <f t="shared" si="6"/>
      </c>
      <c r="AF33" s="1092"/>
      <c r="AG33" s="551">
        <f>IF(AG$5="","",HLOOKUP(AG$4,'経営指標(触らない)'!$D$2:$N$22,21,1))</f>
      </c>
      <c r="AH33" s="1090">
        <f t="shared" si="7"/>
      </c>
      <c r="AI33" s="1090"/>
      <c r="AJ33" s="555">
        <f>IF(AJ$5="","",HLOOKUP(AJ$4,'経営指標(触らない)'!$D$2:$N$22,21,1))</f>
      </c>
      <c r="AK33" s="1090">
        <f t="shared" si="8"/>
      </c>
      <c r="AL33" s="1092"/>
      <c r="AM33" s="551">
        <f>IF(AM$5="","",HLOOKUP(AM$4,'経営指標(触らない)'!$D$2:$N$22,21,1))</f>
      </c>
      <c r="AN33" s="1090">
        <f t="shared" si="9"/>
      </c>
      <c r="AO33" s="1094"/>
    </row>
    <row r="34" spans="1:41" ht="15" customHeight="1">
      <c r="A34" s="1109" t="s">
        <v>152</v>
      </c>
      <c r="B34" s="1110"/>
      <c r="C34" s="586" t="e">
        <f>SUM(C17:C30)</f>
        <v>#REF!</v>
      </c>
      <c r="D34" s="407" t="s">
        <v>586</v>
      </c>
      <c r="E34" s="39"/>
      <c r="F34" s="1109" t="s">
        <v>546</v>
      </c>
      <c r="G34" s="1110"/>
      <c r="H34" s="587" t="e">
        <f>SUM(H17:H30)</f>
        <v>#REF!</v>
      </c>
      <c r="I34" s="68" t="s">
        <v>355</v>
      </c>
      <c r="J34" s="61" t="e">
        <f>IF(J13="","",SUM(J17:J30))</f>
        <v>#REF!</v>
      </c>
      <c r="K34" s="397">
        <f t="shared" si="10"/>
      </c>
      <c r="L34" s="61" t="e">
        <f>IF(L13="","",SUM(L17:L30))</f>
        <v>#REF!</v>
      </c>
      <c r="M34" s="397">
        <f t="shared" si="11"/>
      </c>
      <c r="N34" s="61" t="e">
        <f>IF(N13="","",SUM(N17:N30))</f>
        <v>#REF!</v>
      </c>
      <c r="O34" s="399">
        <f t="shared" si="12"/>
      </c>
      <c r="P34" s="525" t="e">
        <f>IF(P13="","",SUM(P17:P30))</f>
        <v>#REF!</v>
      </c>
      <c r="Q34" s="399">
        <f t="shared" si="13"/>
      </c>
      <c r="R34" s="525">
        <f>IF(R13="","",SUM(R17:R30))</f>
      </c>
      <c r="S34" s="398">
        <f t="shared" si="14"/>
      </c>
      <c r="V34" s="1101" t="s">
        <v>546</v>
      </c>
      <c r="W34" s="1102"/>
      <c r="X34" s="61" t="e">
        <f>SUM(X17:X30)</f>
        <v>#N/A</v>
      </c>
      <c r="Y34" s="1040" t="s">
        <v>586</v>
      </c>
      <c r="Z34" s="1042" t="s">
        <v>587</v>
      </c>
      <c r="AA34" s="525">
        <f>IF(SUM(AA17:AA30)=0,"",SUM(AA17:AA30))</f>
      </c>
      <c r="AB34" s="1040">
        <f t="shared" si="15"/>
      </c>
      <c r="AC34" s="1040"/>
      <c r="AD34" s="61">
        <f>IF(SUM(AD17:AD30)=0,"",SUM(AD17:AD30))</f>
      </c>
      <c r="AE34" s="1040">
        <f t="shared" si="6"/>
      </c>
      <c r="AF34" s="1093"/>
      <c r="AG34" s="525">
        <f>IF(SUM(AG17:AG30)=0,"",SUM(AG17:AG30))</f>
      </c>
      <c r="AH34" s="1040">
        <f t="shared" si="7"/>
      </c>
      <c r="AI34" s="1040"/>
      <c r="AJ34" s="61">
        <f>IF(SUM(AJ17:AJ30)=0,"",SUM(AJ17:AJ30))</f>
      </c>
      <c r="AK34" s="1040">
        <f t="shared" si="8"/>
      </c>
      <c r="AL34" s="1093"/>
      <c r="AM34" s="525">
        <f>IF(SUM(AM17:AM30)=0,"",SUM(AM17:AM30))</f>
      </c>
      <c r="AN34" s="1040">
        <f t="shared" si="9"/>
      </c>
      <c r="AO34" s="1097"/>
    </row>
    <row r="35" spans="1:41" ht="15" customHeight="1">
      <c r="A35" s="1107" t="s">
        <v>548</v>
      </c>
      <c r="B35" s="1108"/>
      <c r="C35" s="583" t="e">
        <f>C13-C34</f>
        <v>#REF!</v>
      </c>
      <c r="D35" s="408" t="s">
        <v>586</v>
      </c>
      <c r="E35" s="52"/>
      <c r="F35" s="1109" t="s">
        <v>547</v>
      </c>
      <c r="G35" s="1110"/>
      <c r="H35" s="69" t="e">
        <f>H13-H34</f>
        <v>#REF!</v>
      </c>
      <c r="I35" s="70" t="s">
        <v>355</v>
      </c>
      <c r="J35" s="69" t="e">
        <f>IF(J$13="","",J13-J34)</f>
        <v>#REF!</v>
      </c>
      <c r="K35" s="405">
        <f t="shared" si="10"/>
      </c>
      <c r="L35" s="69" t="e">
        <f>IF(L$13="","",L13-L34)</f>
        <v>#REF!</v>
      </c>
      <c r="M35" s="405">
        <f t="shared" si="11"/>
      </c>
      <c r="N35" s="69" t="e">
        <f>IF(N$13="","",N13-N34)</f>
        <v>#REF!</v>
      </c>
      <c r="O35" s="404">
        <f t="shared" si="12"/>
      </c>
      <c r="P35" s="524" t="e">
        <f>IF(P$13="","",P13-P34)</f>
        <v>#REF!</v>
      </c>
      <c r="Q35" s="404">
        <f t="shared" si="13"/>
      </c>
      <c r="R35" s="524">
        <f>IF(R$13="","",R13-R34)</f>
      </c>
      <c r="S35" s="409">
        <f t="shared" si="14"/>
      </c>
      <c r="T35" s="53"/>
      <c r="U35" s="53"/>
      <c r="V35" s="1104" t="s">
        <v>549</v>
      </c>
      <c r="W35" s="1105"/>
      <c r="X35" s="69" t="e">
        <f>X13-X34</f>
        <v>#N/A</v>
      </c>
      <c r="Y35" s="1095" t="s">
        <v>586</v>
      </c>
      <c r="Z35" s="1096" t="s">
        <v>586</v>
      </c>
      <c r="AA35" s="524">
        <f>IF(AA13="","",AA13-AA34)</f>
      </c>
      <c r="AB35" s="1095">
        <f>IF($AA$5="","","円")</f>
      </c>
      <c r="AC35" s="1106" t="s">
        <v>586</v>
      </c>
      <c r="AD35" s="69">
        <f>IF(AD13="","",AD13-AD34)</f>
      </c>
      <c r="AE35" s="1095">
        <f t="shared" si="6"/>
      </c>
      <c r="AF35" s="1096" t="s">
        <v>586</v>
      </c>
      <c r="AG35" s="524">
        <f>IF(AG13="","",AG13-AG34)</f>
      </c>
      <c r="AH35" s="1095">
        <f t="shared" si="7"/>
      </c>
      <c r="AI35" s="1106" t="s">
        <v>586</v>
      </c>
      <c r="AJ35" s="69">
        <f>IF(AJ13="","",AJ13-AJ34)</f>
      </c>
      <c r="AK35" s="1095">
        <f t="shared" si="8"/>
      </c>
      <c r="AL35" s="1096" t="s">
        <v>586</v>
      </c>
      <c r="AM35" s="524">
        <f>IF(AM13="","",AM13-AM34)</f>
      </c>
      <c r="AN35" s="1040">
        <f t="shared" si="9"/>
      </c>
      <c r="AO35" s="1043" t="s">
        <v>586</v>
      </c>
    </row>
    <row r="36" spans="1:34" ht="15" customHeight="1">
      <c r="A36" s="1103"/>
      <c r="B36" s="1103"/>
      <c r="C36" s="582"/>
      <c r="D36" s="58"/>
      <c r="E36" s="39"/>
      <c r="F36" s="39"/>
      <c r="G36" s="39"/>
      <c r="H36" s="37"/>
      <c r="I36" s="39"/>
      <c r="J36" s="410"/>
      <c r="K36" s="39"/>
      <c r="L36" s="410"/>
      <c r="M36" s="39"/>
      <c r="N36" s="410"/>
      <c r="O36" s="39"/>
      <c r="P36" s="410"/>
      <c r="Q36" s="39"/>
      <c r="R36" s="410"/>
      <c r="S36" s="39"/>
      <c r="AA36" s="17"/>
      <c r="AB36" s="17"/>
      <c r="AD36" s="17"/>
      <c r="AE36" s="17"/>
      <c r="AG36" s="17"/>
      <c r="AH36" s="17"/>
    </row>
    <row r="37" spans="1:41" ht="13.5" customHeight="1">
      <c r="A37" s="39"/>
      <c r="B37" s="39"/>
      <c r="C37" s="39"/>
      <c r="D37" s="39"/>
      <c r="E37" s="39"/>
      <c r="F37" s="39"/>
      <c r="G37" s="39"/>
      <c r="H37" s="39"/>
      <c r="I37" s="39"/>
      <c r="J37" s="39"/>
      <c r="K37" s="39"/>
      <c r="L37" s="39"/>
      <c r="M37" s="39"/>
      <c r="N37" s="39"/>
      <c r="O37" s="39"/>
      <c r="P37" s="39"/>
      <c r="Q37" s="39"/>
      <c r="R37" s="39"/>
      <c r="S37" s="39"/>
      <c r="X37" s="411" t="e">
        <f>(X35/X13)*100</f>
        <v>#N/A</v>
      </c>
      <c r="Z37" s="39" t="s">
        <v>312</v>
      </c>
      <c r="AA37" s="384">
        <f>IF(AA35="","",(AA35/AA13)*100)</f>
      </c>
      <c r="AC37" s="39">
        <f>IF(AA35="","","%")</f>
      </c>
      <c r="AD37" s="384">
        <f>IF(AD35="","",(AD35/AD13)*100)</f>
      </c>
      <c r="AF37" s="39">
        <f>IF(AD35="","","%")</f>
      </c>
      <c r="AG37" s="384">
        <f>IF(AG35="","",(AG35/AG13)*100)</f>
      </c>
      <c r="AI37" s="39">
        <f>IF(AG35="","","%")</f>
      </c>
      <c r="AJ37" s="384">
        <f>IF(AJ35="","",(AJ35/AJ13)*100)</f>
      </c>
      <c r="AL37" s="39">
        <f>IF(AJ35="","","%")</f>
      </c>
      <c r="AM37" s="384">
        <f>IF(AM35="","",(AM35/AM13)*100)</f>
      </c>
      <c r="AO37" s="39">
        <f>IF(AM35="","","%")</f>
      </c>
    </row>
    <row r="38" spans="1:19" ht="15" customHeight="1">
      <c r="A38" s="39"/>
      <c r="B38" s="39"/>
      <c r="C38" s="39"/>
      <c r="D38" s="39"/>
      <c r="E38" s="39"/>
      <c r="F38" s="596" t="s">
        <v>153</v>
      </c>
      <c r="G38" s="596"/>
      <c r="H38" s="39"/>
      <c r="I38" s="39"/>
      <c r="J38" s="39"/>
      <c r="K38" s="39"/>
      <c r="L38" s="39"/>
      <c r="M38" s="39"/>
      <c r="N38" s="39"/>
      <c r="O38" s="39"/>
      <c r="P38" s="39"/>
      <c r="Q38" s="39"/>
      <c r="R38" s="39"/>
      <c r="S38" s="39"/>
    </row>
    <row r="39" spans="1:19" ht="15" customHeight="1">
      <c r="A39" s="39"/>
      <c r="B39" s="39"/>
      <c r="C39" s="39"/>
      <c r="D39" s="39"/>
      <c r="E39" s="39"/>
      <c r="F39" s="1120" t="s">
        <v>154</v>
      </c>
      <c r="G39" s="43"/>
      <c r="H39" s="42"/>
      <c r="I39" s="43"/>
      <c r="J39" s="341"/>
      <c r="K39" s="44"/>
      <c r="L39" s="42"/>
      <c r="M39" s="43"/>
      <c r="N39" s="341"/>
      <c r="O39" s="44"/>
      <c r="P39" s="1123" t="s">
        <v>155</v>
      </c>
      <c r="Q39" s="1124"/>
      <c r="R39" s="341"/>
      <c r="S39" s="44"/>
    </row>
    <row r="40" spans="1:19" ht="15" customHeight="1">
      <c r="A40" s="39"/>
      <c r="B40" s="39"/>
      <c r="C40" s="39"/>
      <c r="D40" s="39"/>
      <c r="E40" s="39"/>
      <c r="F40" s="1121"/>
      <c r="G40" s="46"/>
      <c r="H40" s="1116" t="s">
        <v>359</v>
      </c>
      <c r="I40" s="1117"/>
      <c r="J40" s="1118" t="e">
        <f>G41-J43</f>
        <v>#REF!</v>
      </c>
      <c r="K40" s="1119"/>
      <c r="L40" s="1116" t="s">
        <v>360</v>
      </c>
      <c r="M40" s="1117"/>
      <c r="N40" s="1125"/>
      <c r="O40" s="1126"/>
      <c r="P40" s="46"/>
      <c r="Q40" s="46"/>
      <c r="R40" s="1111" t="e">
        <f>IF(N40=0,J40,J40/N40)</f>
        <v>#REF!</v>
      </c>
      <c r="S40" s="1112"/>
    </row>
    <row r="41" spans="1:19" ht="15" customHeight="1">
      <c r="A41" s="39"/>
      <c r="B41" s="39"/>
      <c r="C41" s="39"/>
      <c r="D41" s="39"/>
      <c r="E41" s="39"/>
      <c r="F41" s="1121"/>
      <c r="G41" s="1113" t="e">
        <f>'労働時間(耕種農家のみ)'!R9</f>
        <v>#REF!</v>
      </c>
      <c r="H41" s="48"/>
      <c r="I41" s="49"/>
      <c r="J41" s="342"/>
      <c r="K41" s="50" t="s">
        <v>361</v>
      </c>
      <c r="L41" s="48"/>
      <c r="M41" s="49"/>
      <c r="N41" s="342"/>
      <c r="O41" s="50" t="s">
        <v>362</v>
      </c>
      <c r="P41" s="1114" t="s">
        <v>363</v>
      </c>
      <c r="Q41" s="1115"/>
      <c r="R41" s="342"/>
      <c r="S41" s="50" t="s">
        <v>632</v>
      </c>
    </row>
    <row r="42" spans="1:19" ht="15" customHeight="1">
      <c r="A42" s="39"/>
      <c r="B42" s="39"/>
      <c r="C42" s="39"/>
      <c r="D42" s="39"/>
      <c r="E42" s="39"/>
      <c r="F42" s="1121"/>
      <c r="G42" s="1113"/>
      <c r="H42" s="45"/>
      <c r="I42" s="46"/>
      <c r="J42" s="343"/>
      <c r="K42" s="47"/>
      <c r="L42" s="37"/>
      <c r="M42" s="37"/>
      <c r="N42" s="37"/>
      <c r="O42" s="37"/>
      <c r="P42" s="37"/>
      <c r="Q42" s="37"/>
      <c r="R42" s="37"/>
      <c r="S42" s="37"/>
    </row>
    <row r="43" spans="1:19" ht="15" customHeight="1">
      <c r="A43" s="39"/>
      <c r="B43" s="39"/>
      <c r="C43" s="39"/>
      <c r="D43" s="39"/>
      <c r="E43" s="39"/>
      <c r="F43" s="1121"/>
      <c r="G43" s="46"/>
      <c r="H43" s="1116" t="s">
        <v>364</v>
      </c>
      <c r="I43" s="1117"/>
      <c r="J43" s="1118" t="e">
        <f>'労働時間(耕種農家のみ)'!R23</f>
        <v>#REF!</v>
      </c>
      <c r="K43" s="1119"/>
      <c r="L43" s="37"/>
      <c r="M43" s="37"/>
      <c r="N43" s="37"/>
      <c r="O43" s="37"/>
      <c r="P43" s="37"/>
      <c r="Q43" s="37"/>
      <c r="R43" s="37"/>
      <c r="S43" s="37"/>
    </row>
    <row r="44" spans="1:19" ht="15" customHeight="1">
      <c r="A44" s="39"/>
      <c r="B44" s="39"/>
      <c r="C44" s="39"/>
      <c r="D44" s="39"/>
      <c r="E44" s="39"/>
      <c r="F44" s="1122"/>
      <c r="G44" s="49"/>
      <c r="H44" s="48"/>
      <c r="I44" s="49"/>
      <c r="J44" s="342"/>
      <c r="K44" s="50" t="s">
        <v>361</v>
      </c>
      <c r="L44" s="37"/>
      <c r="M44" s="37"/>
      <c r="N44" s="37"/>
      <c r="O44" s="37"/>
      <c r="P44" s="37"/>
      <c r="Q44" s="37"/>
      <c r="R44" s="37"/>
      <c r="S44" s="37"/>
    </row>
    <row r="45" ht="4.5" customHeight="1"/>
  </sheetData>
  <sheetProtection/>
  <protectedRanges>
    <protectedRange sqref="AB34 AE17:AE34 AH17:AH34 AK17:AK34 AN17:AN34 AA17:AB33 X17:Y33 AD17:AD33 AG17:AG33 AJ17:AJ33 AM17:AM33" name="範囲10"/>
    <protectedRange sqref="X5:AO10" name="範囲9"/>
    <protectedRange sqref="H7:S7" name="範囲4"/>
  </protectedRanges>
  <mergeCells count="243">
    <mergeCell ref="F39:F44"/>
    <mergeCell ref="P39:Q39"/>
    <mergeCell ref="H40:I40"/>
    <mergeCell ref="J40:K40"/>
    <mergeCell ref="N40:O40"/>
    <mergeCell ref="G1:I1"/>
    <mergeCell ref="N5:O5"/>
    <mergeCell ref="H5:I5"/>
    <mergeCell ref="H6:I6"/>
    <mergeCell ref="J6:K6"/>
    <mergeCell ref="R40:S40"/>
    <mergeCell ref="G41:G42"/>
    <mergeCell ref="P41:Q41"/>
    <mergeCell ref="L40:M40"/>
    <mergeCell ref="H43:I43"/>
    <mergeCell ref="J43:K43"/>
    <mergeCell ref="AE33:AF33"/>
    <mergeCell ref="AH34:AI34"/>
    <mergeCell ref="A34:B34"/>
    <mergeCell ref="F34:G34"/>
    <mergeCell ref="AH35:AI35"/>
    <mergeCell ref="AE34:AF34"/>
    <mergeCell ref="AH33:AI33"/>
    <mergeCell ref="AE35:AF35"/>
    <mergeCell ref="A36:B36"/>
    <mergeCell ref="V35:W35"/>
    <mergeCell ref="Y35:Z35"/>
    <mergeCell ref="AB35:AC35"/>
    <mergeCell ref="A35:B35"/>
    <mergeCell ref="F35:G35"/>
    <mergeCell ref="AE32:AF32"/>
    <mergeCell ref="AH31:AI31"/>
    <mergeCell ref="AK31:AL31"/>
    <mergeCell ref="AK35:AL35"/>
    <mergeCell ref="AN34:AO34"/>
    <mergeCell ref="V31:V33"/>
    <mergeCell ref="V34:W34"/>
    <mergeCell ref="Y34:Z34"/>
    <mergeCell ref="AB34:AC34"/>
    <mergeCell ref="AN35:AO35"/>
    <mergeCell ref="AH32:AI32"/>
    <mergeCell ref="AK33:AL33"/>
    <mergeCell ref="AK34:AL34"/>
    <mergeCell ref="AK32:AL32"/>
    <mergeCell ref="AN31:AO31"/>
    <mergeCell ref="Y31:Z31"/>
    <mergeCell ref="AB31:AC31"/>
    <mergeCell ref="AE31:AF31"/>
    <mergeCell ref="AN33:AO33"/>
    <mergeCell ref="AN32:AO32"/>
    <mergeCell ref="A30:B30"/>
    <mergeCell ref="F30:G30"/>
    <mergeCell ref="A31:A33"/>
    <mergeCell ref="F31:F33"/>
    <mergeCell ref="Y33:Z33"/>
    <mergeCell ref="AB33:AC33"/>
    <mergeCell ref="Y32:Z32"/>
    <mergeCell ref="AB32:AC32"/>
    <mergeCell ref="AN27:AO27"/>
    <mergeCell ref="AN28:AO28"/>
    <mergeCell ref="Y29:Z29"/>
    <mergeCell ref="V30:W30"/>
    <mergeCell ref="Y30:Z30"/>
    <mergeCell ref="AB30:AC30"/>
    <mergeCell ref="AK29:AL29"/>
    <mergeCell ref="AN29:AO29"/>
    <mergeCell ref="AK30:AL30"/>
    <mergeCell ref="AN30:AO30"/>
    <mergeCell ref="AK27:AL27"/>
    <mergeCell ref="AK28:AL28"/>
    <mergeCell ref="AE28:AF28"/>
    <mergeCell ref="AE30:AF30"/>
    <mergeCell ref="AH30:AI30"/>
    <mergeCell ref="AB29:AC29"/>
    <mergeCell ref="AE29:AF29"/>
    <mergeCell ref="AH29:AI29"/>
    <mergeCell ref="V24:V26"/>
    <mergeCell ref="AB24:AC24"/>
    <mergeCell ref="Y28:Z28"/>
    <mergeCell ref="AH28:AI28"/>
    <mergeCell ref="AB28:AC28"/>
    <mergeCell ref="Y27:Z27"/>
    <mergeCell ref="AB27:AC27"/>
    <mergeCell ref="AE27:AF27"/>
    <mergeCell ref="AH27:AI27"/>
    <mergeCell ref="Y26:Z26"/>
    <mergeCell ref="AN26:AO26"/>
    <mergeCell ref="AH25:AI25"/>
    <mergeCell ref="AB25:AC25"/>
    <mergeCell ref="AK26:AL26"/>
    <mergeCell ref="AK25:AL25"/>
    <mergeCell ref="AE24:AF24"/>
    <mergeCell ref="AB23:AC23"/>
    <mergeCell ref="AH22:AI22"/>
    <mergeCell ref="Y25:Z25"/>
    <mergeCell ref="AN24:AO24"/>
    <mergeCell ref="AE25:AF25"/>
    <mergeCell ref="AN25:AO25"/>
    <mergeCell ref="A24:A26"/>
    <mergeCell ref="F24:F26"/>
    <mergeCell ref="AK23:AL23"/>
    <mergeCell ref="AE26:AF26"/>
    <mergeCell ref="AH26:AI26"/>
    <mergeCell ref="AE22:AF22"/>
    <mergeCell ref="AH24:AI24"/>
    <mergeCell ref="AK24:AL24"/>
    <mergeCell ref="AB26:AC26"/>
    <mergeCell ref="Y24:Z24"/>
    <mergeCell ref="Y21:Z21"/>
    <mergeCell ref="AN23:AO23"/>
    <mergeCell ref="AE23:AF23"/>
    <mergeCell ref="AH23:AI23"/>
    <mergeCell ref="AN22:AO22"/>
    <mergeCell ref="AK21:AL21"/>
    <mergeCell ref="AN21:AO21"/>
    <mergeCell ref="AH21:AI21"/>
    <mergeCell ref="Y23:Z23"/>
    <mergeCell ref="AK22:AL22"/>
    <mergeCell ref="Y19:Z19"/>
    <mergeCell ref="AB19:AC19"/>
    <mergeCell ref="AH20:AI20"/>
    <mergeCell ref="Y20:Z20"/>
    <mergeCell ref="Y22:Z22"/>
    <mergeCell ref="AB21:AC21"/>
    <mergeCell ref="AB20:AC20"/>
    <mergeCell ref="AE20:AF20"/>
    <mergeCell ref="AE21:AF21"/>
    <mergeCell ref="AB22:AC22"/>
    <mergeCell ref="AN20:AO20"/>
    <mergeCell ref="AK19:AL19"/>
    <mergeCell ref="AN19:AO19"/>
    <mergeCell ref="AE19:AF19"/>
    <mergeCell ref="AK20:AL20"/>
    <mergeCell ref="AH19:AI19"/>
    <mergeCell ref="A16:B16"/>
    <mergeCell ref="R16:S16"/>
    <mergeCell ref="C16:D16"/>
    <mergeCell ref="N16:O16"/>
    <mergeCell ref="P16:Q16"/>
    <mergeCell ref="F16:G16"/>
    <mergeCell ref="AN18:AO18"/>
    <mergeCell ref="Y18:Z18"/>
    <mergeCell ref="AB18:AC18"/>
    <mergeCell ref="AH18:AI18"/>
    <mergeCell ref="X16:Z16"/>
    <mergeCell ref="V16:W16"/>
    <mergeCell ref="AA16:AC16"/>
    <mergeCell ref="AE18:AF18"/>
    <mergeCell ref="AH17:AI17"/>
    <mergeCell ref="AK18:AL18"/>
    <mergeCell ref="AE17:AF17"/>
    <mergeCell ref="AM15:AO15"/>
    <mergeCell ref="AK13:AL13"/>
    <mergeCell ref="H16:I16"/>
    <mergeCell ref="J16:K16"/>
    <mergeCell ref="L16:M16"/>
    <mergeCell ref="AN17:AO17"/>
    <mergeCell ref="AK17:AL17"/>
    <mergeCell ref="Y17:Z17"/>
    <mergeCell ref="AB17:AC17"/>
    <mergeCell ref="AD16:AF16"/>
    <mergeCell ref="AG16:AI16"/>
    <mergeCell ref="AJ16:AL16"/>
    <mergeCell ref="AM16:AO16"/>
    <mergeCell ref="AE13:AF13"/>
    <mergeCell ref="AH13:AI13"/>
    <mergeCell ref="AN13:AO13"/>
    <mergeCell ref="AG15:AI15"/>
    <mergeCell ref="AJ15:AL15"/>
    <mergeCell ref="AB13:AC13"/>
    <mergeCell ref="X15:Z15"/>
    <mergeCell ref="Y12:Z12"/>
    <mergeCell ref="AB12:AC12"/>
    <mergeCell ref="A15:D15"/>
    <mergeCell ref="H15:I15"/>
    <mergeCell ref="J15:K15"/>
    <mergeCell ref="L15:M15"/>
    <mergeCell ref="N15:O15"/>
    <mergeCell ref="P15:Q15"/>
    <mergeCell ref="Y11:Z11"/>
    <mergeCell ref="AB11:AC11"/>
    <mergeCell ref="A13:B13"/>
    <mergeCell ref="AD15:AF15"/>
    <mergeCell ref="R15:S15"/>
    <mergeCell ref="AE12:AF12"/>
    <mergeCell ref="F13:G13"/>
    <mergeCell ref="AA15:AC15"/>
    <mergeCell ref="V13:W13"/>
    <mergeCell ref="Y13:Z13"/>
    <mergeCell ref="AH12:AI12"/>
    <mergeCell ref="AE11:AF11"/>
    <mergeCell ref="AH11:AI11"/>
    <mergeCell ref="AK12:AL12"/>
    <mergeCell ref="AN12:AO12"/>
    <mergeCell ref="AK11:AL11"/>
    <mergeCell ref="AN11:AO11"/>
    <mergeCell ref="AN8:AO8"/>
    <mergeCell ref="Y10:Z10"/>
    <mergeCell ref="AB10:AC10"/>
    <mergeCell ref="AE10:AF10"/>
    <mergeCell ref="AH10:AI10"/>
    <mergeCell ref="AK10:AL10"/>
    <mergeCell ref="AN10:AO10"/>
    <mergeCell ref="AH8:AI8"/>
    <mergeCell ref="R6:S6"/>
    <mergeCell ref="AK9:AL9"/>
    <mergeCell ref="AN9:AO9"/>
    <mergeCell ref="AH9:AI9"/>
    <mergeCell ref="Y8:Z8"/>
    <mergeCell ref="AB8:AC8"/>
    <mergeCell ref="Y9:Z9"/>
    <mergeCell ref="AB9:AC9"/>
    <mergeCell ref="AE9:AF9"/>
    <mergeCell ref="AM6:AO6"/>
    <mergeCell ref="AD6:AF6"/>
    <mergeCell ref="AG6:AI6"/>
    <mergeCell ref="AE8:AF8"/>
    <mergeCell ref="AK8:AL8"/>
    <mergeCell ref="X5:Z5"/>
    <mergeCell ref="AA5:AC5"/>
    <mergeCell ref="AD5:AF5"/>
    <mergeCell ref="AG5:AI5"/>
    <mergeCell ref="AJ5:AL5"/>
    <mergeCell ref="L5:M5"/>
    <mergeCell ref="X6:Z6"/>
    <mergeCell ref="AA6:AC6"/>
    <mergeCell ref="V6:W6"/>
    <mergeCell ref="P6:Q6"/>
    <mergeCell ref="AM5:AO5"/>
    <mergeCell ref="V5:W5"/>
    <mergeCell ref="P5:Q5"/>
    <mergeCell ref="R5:S5"/>
    <mergeCell ref="AJ6:AL6"/>
    <mergeCell ref="L6:M6"/>
    <mergeCell ref="A1:C1"/>
    <mergeCell ref="E1:F1"/>
    <mergeCell ref="A5:D5"/>
    <mergeCell ref="N6:O6"/>
    <mergeCell ref="A6:B6"/>
    <mergeCell ref="F5:G5"/>
    <mergeCell ref="F6:G6"/>
    <mergeCell ref="C6:D6"/>
    <mergeCell ref="J5:K5"/>
  </mergeCells>
  <conditionalFormatting sqref="C31:C33 H31:H33 J31:J33 L31:L33 N31:N33 P31:P33 R31:R33 X31:X33 AA31:AA33 AD31:AD33 AG31:AG33 AJ31:AJ33 AM31:AM33">
    <cfRule type="expression" priority="1" dxfId="0" stopIfTrue="1">
      <formula>C31=0</formula>
    </cfRule>
  </conditionalFormatting>
  <dataValidations count="1">
    <dataValidation type="list" allowBlank="1" sqref="X5:AO5">
      <formula1>作目</formula1>
    </dataValidation>
  </dataValidations>
  <printOptions/>
  <pageMargins left="0.5118110236220472" right="0.7874015748031497" top="0.5511811023622047" bottom="0.3937007874015748" header="0.5118110236220472" footer="0.5118110236220472"/>
  <pageSetup fitToWidth="0" fitToHeight="1" horizontalDpi="300" verticalDpi="300" orientation="landscape" paperSize="9" scale="83" r:id="rId2"/>
  <legacyDrawing r:id="rId1"/>
</worksheet>
</file>

<file path=xl/worksheets/sheet8.xml><?xml version="1.0" encoding="utf-8"?>
<worksheet xmlns="http://schemas.openxmlformats.org/spreadsheetml/2006/main" xmlns:r="http://schemas.openxmlformats.org/officeDocument/2006/relationships">
  <sheetPr>
    <tabColor theme="0"/>
  </sheetPr>
  <dimension ref="A1:EN24"/>
  <sheetViews>
    <sheetView zoomScale="80" zoomScaleNormal="80" zoomScalePageLayoutView="0" workbookViewId="0" topLeftCell="A1">
      <pane xSplit="3" topLeftCell="D1" activePane="topRight" state="frozen"/>
      <selection pane="topLeft" activeCell="A1" sqref="A1"/>
      <selection pane="topRight" activeCell="N20" sqref="N20"/>
    </sheetView>
  </sheetViews>
  <sheetFormatPr defaultColWidth="9.00390625" defaultRowHeight="13.5"/>
  <cols>
    <col min="1" max="2" width="3.625" style="77" customWidth="1"/>
    <col min="3" max="3" width="11.625" style="77" customWidth="1"/>
    <col min="4" max="13" width="9.625" style="77" customWidth="1"/>
    <col min="14" max="14" width="8.75390625" style="77" customWidth="1"/>
    <col min="15" max="16" width="9.625" style="77" customWidth="1"/>
    <col min="17" max="28" width="10.25390625" style="76" customWidth="1"/>
    <col min="29" max="41" width="10.25390625" style="77" customWidth="1"/>
    <col min="42" max="50" width="10.75390625" style="77" customWidth="1"/>
    <col min="51" max="51" width="12.25390625" style="77" customWidth="1"/>
    <col min="52" max="52" width="11.25390625" style="77" customWidth="1"/>
    <col min="53" max="53" width="9.625" style="77" customWidth="1"/>
    <col min="54" max="54" width="10.50390625" style="77" bestFit="1" customWidth="1"/>
    <col min="55" max="55" width="13.875" style="77" bestFit="1" customWidth="1"/>
    <col min="56" max="60" width="10.50390625" style="77" bestFit="1" customWidth="1"/>
    <col min="61" max="61" width="11.50390625" style="77" customWidth="1"/>
    <col min="62" max="62" width="11.625" style="77" bestFit="1" customWidth="1"/>
    <col min="63" max="63" width="10.50390625" style="77" bestFit="1" customWidth="1"/>
    <col min="64" max="65" width="11.625" style="77" bestFit="1" customWidth="1"/>
    <col min="66" max="66" width="10.50390625" style="77" bestFit="1" customWidth="1"/>
    <col min="67" max="67" width="10.00390625" style="77" customWidth="1"/>
    <col min="68" max="68" width="11.75390625" style="77" customWidth="1"/>
    <col min="69" max="69" width="11.625" style="77" bestFit="1" customWidth="1"/>
    <col min="70" max="70" width="13.875" style="77" customWidth="1"/>
    <col min="71" max="71" width="11.625" style="77" bestFit="1" customWidth="1"/>
    <col min="72" max="72" width="13.25390625" style="77" customWidth="1"/>
    <col min="73" max="73" width="12.25390625" style="77" bestFit="1" customWidth="1"/>
    <col min="74" max="74" width="9.50390625" style="76" customWidth="1"/>
    <col min="75" max="75" width="9.875" style="76" customWidth="1"/>
    <col min="76" max="76" width="10.25390625" style="76" customWidth="1"/>
    <col min="77" max="77" width="9.875" style="76" customWidth="1"/>
    <col min="78" max="84" width="11.125" style="76" customWidth="1"/>
    <col min="85" max="93" width="11.125" style="77" customWidth="1"/>
    <col min="94" max="96" width="10.50390625" style="78" customWidth="1"/>
    <col min="97" max="97" width="7.875" style="79" customWidth="1"/>
    <col min="98" max="98" width="8.375" style="78" customWidth="1"/>
    <col min="99" max="112" width="9.625" style="78" customWidth="1"/>
    <col min="113" max="115" width="9.00390625" style="77" customWidth="1"/>
    <col min="116" max="116" width="8.25390625" style="77" customWidth="1"/>
    <col min="117" max="134" width="9.00390625" style="77" customWidth="1"/>
    <col min="135" max="136" width="10.50390625" style="77" customWidth="1"/>
    <col min="137" max="137" width="10.875" style="77" bestFit="1" customWidth="1"/>
    <col min="138" max="138" width="9.00390625" style="77" customWidth="1"/>
    <col min="139" max="139" width="10.875" style="77" bestFit="1" customWidth="1"/>
    <col min="140" max="140" width="9.125" style="77" customWidth="1"/>
    <col min="141" max="141" width="11.25390625" style="77" customWidth="1"/>
    <col min="142" max="142" width="12.375" style="77" customWidth="1"/>
    <col min="143" max="143" width="11.125" style="77" customWidth="1"/>
    <col min="144" max="145" width="9.125" style="77" customWidth="1"/>
    <col min="146" max="16384" width="9.00390625" style="77" customWidth="1"/>
  </cols>
  <sheetData>
    <row r="1" spans="1:144" s="280" customFormat="1" ht="37.5" customHeight="1">
      <c r="A1" s="1130" t="s">
        <v>367</v>
      </c>
      <c r="B1" s="1130"/>
      <c r="C1" s="1130"/>
      <c r="D1" s="337" t="s">
        <v>611</v>
      </c>
      <c r="E1" s="337" t="s">
        <v>612</v>
      </c>
      <c r="F1" s="337" t="s">
        <v>592</v>
      </c>
      <c r="G1" s="337" t="s">
        <v>596</v>
      </c>
      <c r="H1" s="337" t="s">
        <v>597</v>
      </c>
      <c r="I1" s="337" t="s">
        <v>593</v>
      </c>
      <c r="J1" s="337" t="s">
        <v>594</v>
      </c>
      <c r="K1" s="337" t="s">
        <v>595</v>
      </c>
      <c r="L1" s="337" t="s">
        <v>569</v>
      </c>
      <c r="M1" s="337" t="s">
        <v>598</v>
      </c>
      <c r="N1" s="337" t="s">
        <v>611</v>
      </c>
      <c r="O1" s="349" t="s">
        <v>606</v>
      </c>
      <c r="P1" s="349" t="s">
        <v>606</v>
      </c>
      <c r="Q1" s="277" t="s">
        <v>502</v>
      </c>
      <c r="R1" s="278" t="s">
        <v>502</v>
      </c>
      <c r="S1" s="278" t="s">
        <v>503</v>
      </c>
      <c r="T1" s="279" t="s">
        <v>368</v>
      </c>
      <c r="U1" s="277" t="s">
        <v>369</v>
      </c>
      <c r="V1" s="278" t="s">
        <v>370</v>
      </c>
      <c r="W1" s="278" t="s">
        <v>504</v>
      </c>
      <c r="X1" s="278" t="s">
        <v>505</v>
      </c>
      <c r="Y1" s="278" t="s">
        <v>506</v>
      </c>
      <c r="Z1" s="278" t="s">
        <v>371</v>
      </c>
      <c r="AA1" s="278" t="s">
        <v>372</v>
      </c>
      <c r="AB1" s="278" t="s">
        <v>373</v>
      </c>
      <c r="AC1" s="277" t="s">
        <v>507</v>
      </c>
      <c r="AD1" s="278" t="s">
        <v>508</v>
      </c>
      <c r="AE1" s="278" t="s">
        <v>374</v>
      </c>
      <c r="AF1" s="277" t="s">
        <v>375</v>
      </c>
      <c r="AG1" s="277" t="s">
        <v>376</v>
      </c>
      <c r="AH1" s="278" t="s">
        <v>377</v>
      </c>
      <c r="AI1" s="278" t="s">
        <v>378</v>
      </c>
      <c r="AJ1" s="277" t="s">
        <v>379</v>
      </c>
      <c r="AK1" s="279" t="s">
        <v>380</v>
      </c>
      <c r="AL1" s="278" t="s">
        <v>509</v>
      </c>
      <c r="AM1" s="278" t="s">
        <v>510</v>
      </c>
      <c r="AN1" s="278" t="s">
        <v>381</v>
      </c>
      <c r="AO1" s="278" t="s">
        <v>381</v>
      </c>
      <c r="AP1" s="278" t="s">
        <v>511</v>
      </c>
      <c r="AQ1" s="278" t="s">
        <v>511</v>
      </c>
      <c r="AR1" s="278" t="s">
        <v>511</v>
      </c>
      <c r="AS1" s="277" t="s">
        <v>512</v>
      </c>
      <c r="AT1" s="277" t="s">
        <v>513</v>
      </c>
      <c r="AU1" s="277" t="s">
        <v>514</v>
      </c>
      <c r="AV1" s="278" t="s">
        <v>514</v>
      </c>
      <c r="AW1" s="277" t="s">
        <v>382</v>
      </c>
      <c r="AX1" s="278" t="s">
        <v>515</v>
      </c>
      <c r="AY1" s="278" t="s">
        <v>516</v>
      </c>
      <c r="AZ1" s="278" t="s">
        <v>517</v>
      </c>
      <c r="BA1" s="277" t="s">
        <v>518</v>
      </c>
      <c r="BB1" s="278" t="s">
        <v>519</v>
      </c>
      <c r="BC1" s="278" t="s">
        <v>520</v>
      </c>
      <c r="BD1" s="277" t="s">
        <v>521</v>
      </c>
      <c r="BE1" s="278" t="s">
        <v>521</v>
      </c>
      <c r="BF1" s="277" t="s">
        <v>383</v>
      </c>
      <c r="BG1" s="277" t="s">
        <v>384</v>
      </c>
      <c r="BH1" s="277" t="s">
        <v>385</v>
      </c>
      <c r="BI1" s="278" t="s">
        <v>385</v>
      </c>
      <c r="BJ1" s="277" t="s">
        <v>522</v>
      </c>
      <c r="BK1" s="277" t="s">
        <v>386</v>
      </c>
      <c r="BL1" s="277" t="s">
        <v>523</v>
      </c>
      <c r="BM1" s="278" t="s">
        <v>524</v>
      </c>
      <c r="BN1" s="278" t="s">
        <v>525</v>
      </c>
      <c r="BO1" s="277" t="s">
        <v>526</v>
      </c>
      <c r="BP1" s="278" t="s">
        <v>527</v>
      </c>
      <c r="BQ1" s="277" t="s">
        <v>387</v>
      </c>
      <c r="BR1" s="277" t="s">
        <v>528</v>
      </c>
      <c r="BS1" s="277" t="s">
        <v>529</v>
      </c>
      <c r="BT1" s="278" t="s">
        <v>529</v>
      </c>
      <c r="BU1" s="278" t="s">
        <v>388</v>
      </c>
      <c r="BV1" s="277" t="s">
        <v>530</v>
      </c>
      <c r="BW1" s="277" t="s">
        <v>530</v>
      </c>
      <c r="BX1" s="277" t="s">
        <v>389</v>
      </c>
      <c r="BY1" s="277" t="s">
        <v>389</v>
      </c>
      <c r="BZ1" s="277" t="s">
        <v>531</v>
      </c>
      <c r="CA1" s="277" t="s">
        <v>531</v>
      </c>
      <c r="CB1" s="278" t="s">
        <v>531</v>
      </c>
      <c r="CC1" s="277" t="s">
        <v>532</v>
      </c>
      <c r="CD1" s="277" t="s">
        <v>390</v>
      </c>
      <c r="CE1" s="277" t="s">
        <v>533</v>
      </c>
      <c r="CF1" s="277" t="s">
        <v>391</v>
      </c>
      <c r="CG1" s="622" t="s">
        <v>643</v>
      </c>
      <c r="CH1" s="278" t="s">
        <v>534</v>
      </c>
      <c r="CI1" s="278" t="s">
        <v>392</v>
      </c>
      <c r="CJ1" s="281" t="s">
        <v>393</v>
      </c>
      <c r="CK1" s="278" t="s">
        <v>535</v>
      </c>
      <c r="CL1" s="278" t="s">
        <v>536</v>
      </c>
      <c r="CM1" s="277" t="s">
        <v>537</v>
      </c>
      <c r="CN1" s="278" t="s">
        <v>538</v>
      </c>
      <c r="CO1" s="278" t="s">
        <v>538</v>
      </c>
      <c r="CP1" s="98" t="s">
        <v>539</v>
      </c>
      <c r="CQ1" s="98" t="s">
        <v>394</v>
      </c>
      <c r="CR1" s="98" t="s">
        <v>395</v>
      </c>
      <c r="CS1" s="282" t="s">
        <v>396</v>
      </c>
      <c r="CT1" s="278" t="s">
        <v>397</v>
      </c>
      <c r="CU1" s="278" t="s">
        <v>398</v>
      </c>
      <c r="CV1" s="278" t="s">
        <v>399</v>
      </c>
      <c r="CW1" s="278" t="s">
        <v>400</v>
      </c>
      <c r="CX1" s="278" t="s">
        <v>401</v>
      </c>
      <c r="CY1" s="278" t="s">
        <v>402</v>
      </c>
      <c r="CZ1" s="278" t="s">
        <v>403</v>
      </c>
      <c r="DA1" s="278" t="s">
        <v>404</v>
      </c>
      <c r="DB1" s="278" t="s">
        <v>405</v>
      </c>
      <c r="DC1" s="278" t="s">
        <v>406</v>
      </c>
      <c r="DD1" s="278" t="s">
        <v>407</v>
      </c>
      <c r="DE1" s="278" t="s">
        <v>408</v>
      </c>
      <c r="DF1" s="278" t="s">
        <v>409</v>
      </c>
      <c r="DG1" s="278" t="s">
        <v>409</v>
      </c>
      <c r="DH1" s="278" t="s">
        <v>410</v>
      </c>
      <c r="DI1" s="108" t="s">
        <v>411</v>
      </c>
      <c r="DJ1" s="108" t="s">
        <v>412</v>
      </c>
      <c r="DK1" s="98" t="s">
        <v>413</v>
      </c>
      <c r="DL1" s="109" t="s">
        <v>540</v>
      </c>
      <c r="DM1" s="278" t="s">
        <v>414</v>
      </c>
      <c r="DN1" s="278" t="s">
        <v>541</v>
      </c>
      <c r="DO1" s="278" t="s">
        <v>415</v>
      </c>
      <c r="DP1" s="278" t="s">
        <v>542</v>
      </c>
      <c r="DQ1" s="278" t="s">
        <v>416</v>
      </c>
      <c r="DR1" s="278" t="s">
        <v>417</v>
      </c>
      <c r="DS1" s="278" t="s">
        <v>418</v>
      </c>
      <c r="DT1" s="278" t="s">
        <v>541</v>
      </c>
      <c r="DU1" s="278" t="s">
        <v>415</v>
      </c>
      <c r="DV1" s="278" t="s">
        <v>542</v>
      </c>
      <c r="DW1" s="278" t="s">
        <v>416</v>
      </c>
      <c r="DX1" s="278" t="s">
        <v>417</v>
      </c>
      <c r="DY1" s="278" t="s">
        <v>419</v>
      </c>
      <c r="DZ1" s="281" t="s">
        <v>420</v>
      </c>
      <c r="EA1" s="278" t="s">
        <v>421</v>
      </c>
      <c r="EB1" s="278" t="s">
        <v>422</v>
      </c>
      <c r="EC1" s="283" t="s">
        <v>423</v>
      </c>
      <c r="ED1" s="283" t="s">
        <v>424</v>
      </c>
      <c r="EE1" s="283" t="s">
        <v>425</v>
      </c>
      <c r="EF1" s="283" t="s">
        <v>426</v>
      </c>
      <c r="EG1" s="412" t="s">
        <v>618</v>
      </c>
      <c r="EH1" s="412" t="s">
        <v>619</v>
      </c>
      <c r="EI1" s="412" t="s">
        <v>620</v>
      </c>
      <c r="EJ1" s="412" t="s">
        <v>624</v>
      </c>
      <c r="EK1" s="412" t="s">
        <v>623</v>
      </c>
      <c r="EL1" s="412" t="s">
        <v>623</v>
      </c>
      <c r="EM1" s="412" t="s">
        <v>626</v>
      </c>
      <c r="EN1" s="412" t="s">
        <v>627</v>
      </c>
    </row>
    <row r="2" spans="1:144" s="414" customFormat="1" ht="22.5" customHeight="1">
      <c r="A2" s="1131" t="s">
        <v>427</v>
      </c>
      <c r="B2" s="1131"/>
      <c r="C2" s="1131"/>
      <c r="D2" s="597">
        <v>1</v>
      </c>
      <c r="E2" s="598">
        <v>2</v>
      </c>
      <c r="F2" s="598">
        <v>3</v>
      </c>
      <c r="G2" s="598">
        <v>4</v>
      </c>
      <c r="H2" s="598">
        <v>5</v>
      </c>
      <c r="I2" s="598">
        <v>6</v>
      </c>
      <c r="J2" s="598">
        <v>7</v>
      </c>
      <c r="K2" s="598">
        <v>8</v>
      </c>
      <c r="L2" s="598">
        <v>9</v>
      </c>
      <c r="M2" s="598">
        <v>10</v>
      </c>
      <c r="N2" s="598">
        <v>11</v>
      </c>
      <c r="O2" s="599" t="s">
        <v>607</v>
      </c>
      <c r="P2" s="600" t="s">
        <v>608</v>
      </c>
      <c r="Q2" s="82" t="s">
        <v>428</v>
      </c>
      <c r="R2" s="81" t="s">
        <v>429</v>
      </c>
      <c r="S2" s="81" t="s">
        <v>430</v>
      </c>
      <c r="T2" s="82" t="s">
        <v>428</v>
      </c>
      <c r="U2" s="82" t="s">
        <v>428</v>
      </c>
      <c r="V2" s="81" t="s">
        <v>431</v>
      </c>
      <c r="W2" s="81" t="s">
        <v>432</v>
      </c>
      <c r="X2" s="81" t="s">
        <v>431</v>
      </c>
      <c r="Y2" s="81" t="s">
        <v>432</v>
      </c>
      <c r="Z2" s="81" t="s">
        <v>433</v>
      </c>
      <c r="AA2" s="81" t="s">
        <v>432</v>
      </c>
      <c r="AB2" s="81" t="s">
        <v>432</v>
      </c>
      <c r="AC2" s="82" t="s">
        <v>429</v>
      </c>
      <c r="AD2" s="81" t="s">
        <v>433</v>
      </c>
      <c r="AE2" s="81" t="s">
        <v>434</v>
      </c>
      <c r="AF2" s="89" t="s">
        <v>428</v>
      </c>
      <c r="AG2" s="82" t="s">
        <v>435</v>
      </c>
      <c r="AH2" s="81" t="s">
        <v>436</v>
      </c>
      <c r="AI2" s="81" t="s">
        <v>437</v>
      </c>
      <c r="AJ2" s="82" t="s">
        <v>438</v>
      </c>
      <c r="AK2" s="82" t="s">
        <v>434</v>
      </c>
      <c r="AL2" s="81" t="s">
        <v>429</v>
      </c>
      <c r="AM2" s="81" t="s">
        <v>433</v>
      </c>
      <c r="AN2" s="81" t="s">
        <v>439</v>
      </c>
      <c r="AO2" s="81" t="s">
        <v>440</v>
      </c>
      <c r="AP2" s="88" t="s">
        <v>441</v>
      </c>
      <c r="AQ2" s="88" t="s">
        <v>442</v>
      </c>
      <c r="AR2" s="81" t="s">
        <v>432</v>
      </c>
      <c r="AS2" s="89" t="s">
        <v>428</v>
      </c>
      <c r="AT2" s="82" t="s">
        <v>443</v>
      </c>
      <c r="AU2" s="82" t="s">
        <v>444</v>
      </c>
      <c r="AV2" s="81" t="s">
        <v>432</v>
      </c>
      <c r="AW2" s="82" t="s">
        <v>445</v>
      </c>
      <c r="AX2" s="81" t="s">
        <v>446</v>
      </c>
      <c r="AY2" s="81" t="s">
        <v>447</v>
      </c>
      <c r="AZ2" s="81" t="s">
        <v>447</v>
      </c>
      <c r="BA2" s="82" t="s">
        <v>448</v>
      </c>
      <c r="BB2" s="81" t="s">
        <v>449</v>
      </c>
      <c r="BC2" s="81" t="s">
        <v>434</v>
      </c>
      <c r="BD2" s="82" t="s">
        <v>428</v>
      </c>
      <c r="BE2" s="81" t="s">
        <v>429</v>
      </c>
      <c r="BF2" s="82" t="s">
        <v>450</v>
      </c>
      <c r="BG2" s="82" t="s">
        <v>450</v>
      </c>
      <c r="BH2" s="82" t="s">
        <v>429</v>
      </c>
      <c r="BI2" s="81" t="s">
        <v>431</v>
      </c>
      <c r="BJ2" s="82" t="s">
        <v>437</v>
      </c>
      <c r="BK2" s="82" t="s">
        <v>450</v>
      </c>
      <c r="BL2" s="82" t="s">
        <v>428</v>
      </c>
      <c r="BM2" s="81" t="s">
        <v>451</v>
      </c>
      <c r="BN2" s="81" t="s">
        <v>432</v>
      </c>
      <c r="BO2" s="82" t="s">
        <v>443</v>
      </c>
      <c r="BP2" s="81" t="s">
        <v>449</v>
      </c>
      <c r="BQ2" s="82" t="s">
        <v>428</v>
      </c>
      <c r="BR2" s="82" t="s">
        <v>452</v>
      </c>
      <c r="BS2" s="82" t="s">
        <v>453</v>
      </c>
      <c r="BT2" s="81" t="s">
        <v>454</v>
      </c>
      <c r="BU2" s="81" t="s">
        <v>429</v>
      </c>
      <c r="BV2" s="82" t="s">
        <v>428</v>
      </c>
      <c r="BW2" s="82" t="s">
        <v>455</v>
      </c>
      <c r="BX2" s="82" t="s">
        <v>428</v>
      </c>
      <c r="BY2" s="82" t="s">
        <v>448</v>
      </c>
      <c r="BZ2" s="82" t="s">
        <v>428</v>
      </c>
      <c r="CA2" s="82" t="s">
        <v>452</v>
      </c>
      <c r="CB2" s="81" t="s">
        <v>456</v>
      </c>
      <c r="CC2" s="82" t="s">
        <v>457</v>
      </c>
      <c r="CD2" s="82" t="s">
        <v>448</v>
      </c>
      <c r="CE2" s="82" t="s">
        <v>458</v>
      </c>
      <c r="CF2" s="82" t="s">
        <v>429</v>
      </c>
      <c r="CG2" s="82" t="s">
        <v>459</v>
      </c>
      <c r="CH2" s="81" t="s">
        <v>434</v>
      </c>
      <c r="CI2" s="81" t="s">
        <v>429</v>
      </c>
      <c r="CJ2" s="81" t="s">
        <v>460</v>
      </c>
      <c r="CK2" s="81" t="s">
        <v>432</v>
      </c>
      <c r="CL2" s="81" t="s">
        <v>454</v>
      </c>
      <c r="CM2" s="82" t="s">
        <v>452</v>
      </c>
      <c r="CN2" s="81" t="s">
        <v>461</v>
      </c>
      <c r="CO2" s="81" t="s">
        <v>431</v>
      </c>
      <c r="CP2" s="100"/>
      <c r="CQ2" s="99" t="s">
        <v>543</v>
      </c>
      <c r="CR2" s="99" t="s">
        <v>544</v>
      </c>
      <c r="CS2" s="101"/>
      <c r="CT2" s="81" t="s">
        <v>462</v>
      </c>
      <c r="CU2" s="81" t="s">
        <v>462</v>
      </c>
      <c r="CV2" s="81" t="s">
        <v>462</v>
      </c>
      <c r="CW2" s="81" t="s">
        <v>463</v>
      </c>
      <c r="CX2" s="81" t="s">
        <v>464</v>
      </c>
      <c r="CY2" s="81" t="s">
        <v>465</v>
      </c>
      <c r="CZ2" s="81" t="s">
        <v>465</v>
      </c>
      <c r="DA2" s="81" t="s">
        <v>466</v>
      </c>
      <c r="DB2" s="81" t="s">
        <v>467</v>
      </c>
      <c r="DC2" s="81" t="s">
        <v>467</v>
      </c>
      <c r="DD2" s="81" t="s">
        <v>468</v>
      </c>
      <c r="DE2" s="81" t="s">
        <v>469</v>
      </c>
      <c r="DF2" s="81" t="s">
        <v>470</v>
      </c>
      <c r="DG2" s="81" t="s">
        <v>471</v>
      </c>
      <c r="DH2" s="81" t="s">
        <v>471</v>
      </c>
      <c r="DI2" s="99" t="s">
        <v>472</v>
      </c>
      <c r="DJ2" s="99" t="s">
        <v>472</v>
      </c>
      <c r="DK2" s="99" t="s">
        <v>472</v>
      </c>
      <c r="DL2" s="82" t="s">
        <v>473</v>
      </c>
      <c r="DM2" s="81" t="s">
        <v>474</v>
      </c>
      <c r="DN2" s="81" t="s">
        <v>475</v>
      </c>
      <c r="DO2" s="81" t="s">
        <v>470</v>
      </c>
      <c r="DP2" s="81" t="s">
        <v>471</v>
      </c>
      <c r="DQ2" s="81" t="s">
        <v>471</v>
      </c>
      <c r="DR2" s="81" t="s">
        <v>471</v>
      </c>
      <c r="DS2" s="81" t="s">
        <v>474</v>
      </c>
      <c r="DT2" s="81" t="s">
        <v>475</v>
      </c>
      <c r="DU2" s="81" t="s">
        <v>470</v>
      </c>
      <c r="DV2" s="81" t="s">
        <v>471</v>
      </c>
      <c r="DW2" s="81" t="s">
        <v>471</v>
      </c>
      <c r="DX2" s="81" t="s">
        <v>471</v>
      </c>
      <c r="DY2" s="81" t="s">
        <v>476</v>
      </c>
      <c r="DZ2" s="81" t="s">
        <v>476</v>
      </c>
      <c r="EA2" s="81" t="s">
        <v>476</v>
      </c>
      <c r="EB2" s="81" t="s">
        <v>476</v>
      </c>
      <c r="EC2" s="110" t="s">
        <v>476</v>
      </c>
      <c r="ED2" s="110" t="s">
        <v>476</v>
      </c>
      <c r="EE2" s="110" t="s">
        <v>476</v>
      </c>
      <c r="EF2" s="110" t="s">
        <v>476</v>
      </c>
      <c r="EG2" s="381" t="s">
        <v>617</v>
      </c>
      <c r="EH2" s="381" t="s">
        <v>617</v>
      </c>
      <c r="EI2" s="381" t="s">
        <v>621</v>
      </c>
      <c r="EJ2" s="381" t="s">
        <v>622</v>
      </c>
      <c r="EK2" s="381" t="s">
        <v>617</v>
      </c>
      <c r="EL2" s="381" t="s">
        <v>625</v>
      </c>
      <c r="EM2" s="381" t="s">
        <v>617</v>
      </c>
      <c r="EN2" s="381" t="s">
        <v>625</v>
      </c>
    </row>
    <row r="3" spans="1:144" ht="22.5" customHeight="1">
      <c r="A3" s="1129" t="s">
        <v>477</v>
      </c>
      <c r="B3" s="1128" t="s">
        <v>478</v>
      </c>
      <c r="C3" s="1128"/>
      <c r="D3" s="84">
        <f aca="true" t="shared" si="0" ref="D3:N3">D4*D5</f>
        <v>112500</v>
      </c>
      <c r="E3" s="84">
        <f t="shared" si="0"/>
        <v>100125</v>
      </c>
      <c r="F3" s="84">
        <f t="shared" si="0"/>
        <v>93750</v>
      </c>
      <c r="G3" s="84">
        <f t="shared" si="0"/>
        <v>93750</v>
      </c>
      <c r="H3" s="84">
        <f t="shared" si="0"/>
        <v>52500</v>
      </c>
      <c r="I3" s="84">
        <f t="shared" si="0"/>
        <v>448146</v>
      </c>
      <c r="J3" s="84">
        <f t="shared" si="0"/>
        <v>2000000</v>
      </c>
      <c r="K3" s="84">
        <f t="shared" si="0"/>
        <v>210000</v>
      </c>
      <c r="L3" s="84">
        <f t="shared" si="0"/>
        <v>381600</v>
      </c>
      <c r="M3" s="84">
        <f t="shared" si="0"/>
        <v>2559700</v>
      </c>
      <c r="N3" s="84">
        <f t="shared" si="0"/>
        <v>418000</v>
      </c>
      <c r="O3" s="84">
        <f>O4*O5</f>
        <v>448146</v>
      </c>
      <c r="P3" s="84">
        <f>P4*P5</f>
        <v>522636.79999999993</v>
      </c>
      <c r="Q3" s="84">
        <v>2774700</v>
      </c>
      <c r="R3" s="84">
        <v>2886600</v>
      </c>
      <c r="S3" s="84">
        <v>880600</v>
      </c>
      <c r="T3" s="84">
        <v>1404861</v>
      </c>
      <c r="U3" s="84">
        <v>1368650</v>
      </c>
      <c r="V3" s="84">
        <v>1626700</v>
      </c>
      <c r="W3" s="84">
        <v>381300</v>
      </c>
      <c r="X3" s="84">
        <v>210000</v>
      </c>
      <c r="Y3" s="84">
        <v>3096250</v>
      </c>
      <c r="Z3" s="84">
        <v>1200000</v>
      </c>
      <c r="AA3" s="84">
        <v>847980</v>
      </c>
      <c r="AB3" s="84">
        <v>833770</v>
      </c>
      <c r="AC3" s="84">
        <v>604500</v>
      </c>
      <c r="AD3" s="84">
        <v>1996920</v>
      </c>
      <c r="AE3" s="84">
        <v>2773194</v>
      </c>
      <c r="AF3" s="84">
        <v>2559778</v>
      </c>
      <c r="AG3" s="84">
        <v>594960</v>
      </c>
      <c r="AH3" s="84">
        <v>881256</v>
      </c>
      <c r="AI3" s="84">
        <v>3048485</v>
      </c>
      <c r="AJ3" s="84">
        <v>1872643</v>
      </c>
      <c r="AK3" s="84">
        <v>1046290</v>
      </c>
      <c r="AL3" s="84">
        <v>2280875</v>
      </c>
      <c r="AM3" s="84">
        <v>963200</v>
      </c>
      <c r="AN3" s="84">
        <v>300000</v>
      </c>
      <c r="AO3" s="84">
        <v>300000</v>
      </c>
      <c r="AP3" s="84">
        <v>984000</v>
      </c>
      <c r="AQ3" s="84">
        <v>984000</v>
      </c>
      <c r="AR3" s="84">
        <v>772267</v>
      </c>
      <c r="AS3" s="84">
        <v>400000</v>
      </c>
      <c r="AT3" s="84">
        <v>650000</v>
      </c>
      <c r="AU3" s="84">
        <v>430000</v>
      </c>
      <c r="AV3" s="84">
        <v>240000</v>
      </c>
      <c r="AW3" s="84">
        <v>500000</v>
      </c>
      <c r="AX3" s="84">
        <v>270000</v>
      </c>
      <c r="AY3" s="84">
        <v>1103880</v>
      </c>
      <c r="AZ3" s="84">
        <v>2040150</v>
      </c>
      <c r="BA3" s="84">
        <v>2382900</v>
      </c>
      <c r="BB3" s="84">
        <v>3200472</v>
      </c>
      <c r="BC3" s="84">
        <v>615725</v>
      </c>
      <c r="BD3" s="84">
        <v>4425860</v>
      </c>
      <c r="BE3" s="84">
        <v>2736720</v>
      </c>
      <c r="BF3" s="84">
        <v>1665000</v>
      </c>
      <c r="BG3" s="84">
        <v>2280000</v>
      </c>
      <c r="BH3" s="84">
        <v>2898000</v>
      </c>
      <c r="BI3" s="84">
        <v>2527200</v>
      </c>
      <c r="BJ3" s="84">
        <v>7531350</v>
      </c>
      <c r="BK3" s="84">
        <v>5122490</v>
      </c>
      <c r="BL3" s="84">
        <v>1352337</v>
      </c>
      <c r="BM3" s="84">
        <v>1563840</v>
      </c>
      <c r="BN3" s="84">
        <v>1493745</v>
      </c>
      <c r="BO3" s="84">
        <v>1171890</v>
      </c>
      <c r="BP3" s="84">
        <v>4374925</v>
      </c>
      <c r="BQ3" s="84">
        <v>1381200</v>
      </c>
      <c r="BR3" s="84">
        <v>1978435</v>
      </c>
      <c r="BS3" s="84">
        <v>12012000</v>
      </c>
      <c r="BT3" s="84">
        <v>12012000</v>
      </c>
      <c r="BU3" s="84">
        <v>2604856</v>
      </c>
      <c r="BV3" s="84">
        <v>541600</v>
      </c>
      <c r="BW3" s="84">
        <v>471000</v>
      </c>
      <c r="BX3" s="84">
        <v>817440</v>
      </c>
      <c r="BY3" s="84">
        <v>929600</v>
      </c>
      <c r="BZ3" s="84">
        <v>1928900</v>
      </c>
      <c r="CA3" s="84">
        <v>1417200</v>
      </c>
      <c r="CB3" s="84">
        <v>2478896</v>
      </c>
      <c r="CC3" s="84">
        <v>633680</v>
      </c>
      <c r="CD3" s="84">
        <v>430850</v>
      </c>
      <c r="CE3" s="84">
        <v>100000</v>
      </c>
      <c r="CF3" s="84">
        <v>407400</v>
      </c>
      <c r="CG3" s="84">
        <v>1444385</v>
      </c>
      <c r="CH3" s="84">
        <v>1069335</v>
      </c>
      <c r="CI3" s="84">
        <v>1610440</v>
      </c>
      <c r="CJ3" s="84">
        <v>896578</v>
      </c>
      <c r="CK3" s="84">
        <v>1704030</v>
      </c>
      <c r="CL3" s="84">
        <v>825000</v>
      </c>
      <c r="CM3" s="84">
        <v>1493500</v>
      </c>
      <c r="CN3" s="84">
        <v>1000800</v>
      </c>
      <c r="CO3" s="84">
        <v>2387000</v>
      </c>
      <c r="CP3" s="103">
        <v>117000</v>
      </c>
      <c r="CQ3" s="103">
        <v>130000</v>
      </c>
      <c r="CR3" s="103">
        <v>140580</v>
      </c>
      <c r="CS3" s="84">
        <v>113000</v>
      </c>
      <c r="CT3" s="84">
        <v>132665</v>
      </c>
      <c r="CU3" s="84">
        <v>204100</v>
      </c>
      <c r="CV3" s="84">
        <v>142870</v>
      </c>
      <c r="CW3" s="84">
        <v>171528</v>
      </c>
      <c r="CX3" s="84">
        <v>173485</v>
      </c>
      <c r="CY3" s="84">
        <v>143010</v>
      </c>
      <c r="CZ3" s="84">
        <v>163440</v>
      </c>
      <c r="DA3" s="84">
        <v>102150</v>
      </c>
      <c r="DB3" s="84">
        <v>163440</v>
      </c>
      <c r="DC3" s="84">
        <v>122580</v>
      </c>
      <c r="DD3" s="84">
        <v>183690</v>
      </c>
      <c r="DE3" s="84">
        <v>183690</v>
      </c>
      <c r="DF3" s="84">
        <v>163280</v>
      </c>
      <c r="DG3" s="84">
        <v>143010</v>
      </c>
      <c r="DH3" s="84">
        <v>204100</v>
      </c>
      <c r="DI3" s="103">
        <v>93750</v>
      </c>
      <c r="DJ3" s="103">
        <v>62500</v>
      </c>
      <c r="DK3" s="103">
        <v>93750</v>
      </c>
      <c r="DL3" s="84">
        <v>867900</v>
      </c>
      <c r="DM3" s="84">
        <v>123060</v>
      </c>
      <c r="DN3" s="84">
        <v>660000</v>
      </c>
      <c r="DO3" s="84">
        <v>120400</v>
      </c>
      <c r="DP3" s="84">
        <v>80000</v>
      </c>
      <c r="DQ3" s="84">
        <v>0</v>
      </c>
      <c r="DR3" s="84">
        <v>0</v>
      </c>
      <c r="DS3" s="84">
        <v>123060</v>
      </c>
      <c r="DT3" s="84">
        <v>660000</v>
      </c>
      <c r="DU3" s="84">
        <v>120400</v>
      </c>
      <c r="DV3" s="84">
        <v>80000</v>
      </c>
      <c r="DW3" s="84">
        <v>0</v>
      </c>
      <c r="DX3" s="84">
        <v>0</v>
      </c>
      <c r="DY3" s="103">
        <v>160000</v>
      </c>
      <c r="DZ3" s="84">
        <v>140000</v>
      </c>
      <c r="EA3" s="84">
        <v>160000</v>
      </c>
      <c r="EB3" s="84">
        <v>140000</v>
      </c>
      <c r="EC3" s="107">
        <v>509600</v>
      </c>
      <c r="ED3" s="107">
        <v>562500</v>
      </c>
      <c r="EE3" s="107">
        <v>509600</v>
      </c>
      <c r="EF3" s="107">
        <v>562500</v>
      </c>
      <c r="EG3" s="413">
        <v>1824000</v>
      </c>
      <c r="EH3" s="413">
        <v>623984</v>
      </c>
      <c r="EI3" s="413">
        <v>2512154</v>
      </c>
      <c r="EJ3" s="413">
        <v>363792</v>
      </c>
      <c r="EK3" s="413">
        <v>4373180</v>
      </c>
      <c r="EL3" s="413">
        <v>5216038</v>
      </c>
      <c r="EM3" s="413">
        <v>1276759</v>
      </c>
      <c r="EN3" s="413">
        <v>300000</v>
      </c>
    </row>
    <row r="4" spans="1:144" ht="22.5" customHeight="1">
      <c r="A4" s="1129"/>
      <c r="B4" s="1132" t="s">
        <v>479</v>
      </c>
      <c r="C4" s="1132"/>
      <c r="D4" s="105">
        <v>5000</v>
      </c>
      <c r="E4" s="105">
        <v>4450</v>
      </c>
      <c r="F4" s="105">
        <v>375</v>
      </c>
      <c r="G4" s="105">
        <v>375</v>
      </c>
      <c r="H4" s="105">
        <v>250</v>
      </c>
      <c r="I4" s="105">
        <v>1161</v>
      </c>
      <c r="J4" s="105">
        <v>1000</v>
      </c>
      <c r="K4" s="105">
        <v>1400</v>
      </c>
      <c r="L4" s="105">
        <v>900</v>
      </c>
      <c r="M4" s="105">
        <v>5500</v>
      </c>
      <c r="N4" s="107">
        <v>220</v>
      </c>
      <c r="O4" s="105">
        <v>1161</v>
      </c>
      <c r="P4" s="105">
        <v>896</v>
      </c>
      <c r="Q4" s="84">
        <v>2120</v>
      </c>
      <c r="R4" s="85">
        <v>2297</v>
      </c>
      <c r="S4" s="85">
        <v>700</v>
      </c>
      <c r="T4" s="85">
        <v>1369</v>
      </c>
      <c r="U4" s="85">
        <v>1350</v>
      </c>
      <c r="V4" s="85">
        <v>1400</v>
      </c>
      <c r="W4" s="85">
        <v>900</v>
      </c>
      <c r="X4" s="85">
        <v>1400</v>
      </c>
      <c r="Y4" s="85">
        <v>2155</v>
      </c>
      <c r="Z4" s="85">
        <v>3000</v>
      </c>
      <c r="AA4" s="85">
        <v>2702</v>
      </c>
      <c r="AB4" s="85">
        <v>3010</v>
      </c>
      <c r="AC4" s="93">
        <v>1500</v>
      </c>
      <c r="AD4" s="85">
        <v>8300</v>
      </c>
      <c r="AE4" s="85">
        <v>10515</v>
      </c>
      <c r="AF4" s="94">
        <v>5500</v>
      </c>
      <c r="AG4" s="85">
        <v>2560</v>
      </c>
      <c r="AH4" s="85">
        <v>6036</v>
      </c>
      <c r="AI4" s="85">
        <v>7120</v>
      </c>
      <c r="AJ4" s="85">
        <v>6000</v>
      </c>
      <c r="AK4" s="85">
        <v>5390</v>
      </c>
      <c r="AL4" s="85">
        <v>3966</v>
      </c>
      <c r="AM4" s="85">
        <v>1376</v>
      </c>
      <c r="AN4" s="95">
        <v>2000</v>
      </c>
      <c r="AO4" s="95">
        <v>2000</v>
      </c>
      <c r="AP4" s="84">
        <v>1200</v>
      </c>
      <c r="AQ4" s="84">
        <v>1200</v>
      </c>
      <c r="AR4" s="84">
        <v>800</v>
      </c>
      <c r="AS4" s="90">
        <v>5000</v>
      </c>
      <c r="AT4" s="84">
        <v>1300</v>
      </c>
      <c r="AU4" s="84">
        <v>4000</v>
      </c>
      <c r="AV4" s="84">
        <v>2000</v>
      </c>
      <c r="AW4" s="84">
        <v>2000</v>
      </c>
      <c r="AX4" s="84">
        <v>1800</v>
      </c>
      <c r="AY4" s="84">
        <v>14642</v>
      </c>
      <c r="AZ4" s="84">
        <v>24000</v>
      </c>
      <c r="BA4" s="84">
        <v>50700</v>
      </c>
      <c r="BB4" s="84">
        <v>35640</v>
      </c>
      <c r="BC4" s="84">
        <v>6284</v>
      </c>
      <c r="BD4" s="84">
        <v>89300</v>
      </c>
      <c r="BE4" s="84">
        <v>35840</v>
      </c>
      <c r="BF4" s="84">
        <v>45000</v>
      </c>
      <c r="BG4" s="84">
        <v>40000</v>
      </c>
      <c r="BH4" s="84">
        <v>40000</v>
      </c>
      <c r="BI4" s="84">
        <v>36000</v>
      </c>
      <c r="BJ4" s="84">
        <v>27582</v>
      </c>
      <c r="BK4" s="84">
        <v>40614</v>
      </c>
      <c r="BL4" s="84">
        <v>15750</v>
      </c>
      <c r="BM4" s="84">
        <v>43200</v>
      </c>
      <c r="BN4" s="84">
        <v>20340</v>
      </c>
      <c r="BO4" s="84">
        <v>47655</v>
      </c>
      <c r="BP4" s="84">
        <v>41140</v>
      </c>
      <c r="BQ4" s="84">
        <v>34800</v>
      </c>
      <c r="BR4" s="84">
        <v>34500</v>
      </c>
      <c r="BS4" s="84">
        <v>3420</v>
      </c>
      <c r="BT4" s="84">
        <v>3420</v>
      </c>
      <c r="BU4" s="84">
        <v>2891</v>
      </c>
      <c r="BV4" s="84">
        <v>2000</v>
      </c>
      <c r="BW4" s="84">
        <v>1800</v>
      </c>
      <c r="BX4" s="84">
        <v>2400</v>
      </c>
      <c r="BY4" s="84">
        <v>2880</v>
      </c>
      <c r="BZ4" s="84">
        <v>1500</v>
      </c>
      <c r="CA4" s="84">
        <v>1200</v>
      </c>
      <c r="CB4" s="84">
        <v>1588</v>
      </c>
      <c r="CC4" s="84">
        <v>1200</v>
      </c>
      <c r="CD4" s="84">
        <v>810</v>
      </c>
      <c r="CE4" s="84">
        <v>2000</v>
      </c>
      <c r="CF4" s="84">
        <v>776</v>
      </c>
      <c r="CG4" s="84">
        <v>1985</v>
      </c>
      <c r="CH4" s="84">
        <v>950</v>
      </c>
      <c r="CI4" s="84">
        <v>1304</v>
      </c>
      <c r="CJ4" s="84">
        <v>726</v>
      </c>
      <c r="CK4" s="84">
        <v>1140</v>
      </c>
      <c r="CL4" s="84">
        <v>600</v>
      </c>
      <c r="CM4" s="84">
        <v>1040</v>
      </c>
      <c r="CN4" s="84">
        <v>600</v>
      </c>
      <c r="CO4" s="84">
        <v>1400</v>
      </c>
      <c r="CP4" s="104">
        <v>5</v>
      </c>
      <c r="CQ4" s="104">
        <v>6.5</v>
      </c>
      <c r="CR4" s="104">
        <v>6</v>
      </c>
      <c r="CS4" s="105">
        <v>5</v>
      </c>
      <c r="CT4" s="91">
        <v>6.5</v>
      </c>
      <c r="CU4" s="91">
        <v>10</v>
      </c>
      <c r="CV4" s="91">
        <v>7</v>
      </c>
      <c r="CW4" s="91">
        <v>8.4</v>
      </c>
      <c r="CX4" s="91">
        <v>8.5</v>
      </c>
      <c r="CY4" s="91">
        <v>7</v>
      </c>
      <c r="CZ4" s="91">
        <v>8</v>
      </c>
      <c r="DA4" s="91">
        <v>5</v>
      </c>
      <c r="DB4" s="91">
        <v>8</v>
      </c>
      <c r="DC4" s="91">
        <v>6</v>
      </c>
      <c r="DD4" s="91">
        <v>9</v>
      </c>
      <c r="DE4" s="91">
        <v>9</v>
      </c>
      <c r="DF4" s="91">
        <v>8</v>
      </c>
      <c r="DG4" s="91">
        <v>7</v>
      </c>
      <c r="DH4" s="91">
        <v>10</v>
      </c>
      <c r="DI4" s="111">
        <v>375</v>
      </c>
      <c r="DJ4" s="111">
        <v>250</v>
      </c>
      <c r="DK4" s="111">
        <v>375</v>
      </c>
      <c r="DL4" s="84">
        <v>2630</v>
      </c>
      <c r="DM4" s="84">
        <v>420</v>
      </c>
      <c r="DN4" s="84">
        <v>300</v>
      </c>
      <c r="DO4" s="84">
        <v>280</v>
      </c>
      <c r="DP4" s="84">
        <v>100</v>
      </c>
      <c r="DQ4" s="84">
        <v>12200</v>
      </c>
      <c r="DR4" s="84">
        <v>13200</v>
      </c>
      <c r="DS4" s="84">
        <v>420</v>
      </c>
      <c r="DT4" s="84">
        <v>300</v>
      </c>
      <c r="DU4" s="84">
        <v>280</v>
      </c>
      <c r="DV4" s="84">
        <v>100</v>
      </c>
      <c r="DW4" s="84">
        <v>12200</v>
      </c>
      <c r="DX4" s="84">
        <v>13200</v>
      </c>
      <c r="DY4" s="84">
        <v>160</v>
      </c>
      <c r="DZ4" s="84">
        <v>200</v>
      </c>
      <c r="EA4" s="84">
        <v>160</v>
      </c>
      <c r="EB4" s="84">
        <v>200</v>
      </c>
      <c r="EC4" s="107">
        <v>4200</v>
      </c>
      <c r="ED4" s="107">
        <v>4500</v>
      </c>
      <c r="EE4" s="107">
        <v>4200</v>
      </c>
      <c r="EF4" s="107">
        <v>4500</v>
      </c>
      <c r="EG4" s="413">
        <v>1200</v>
      </c>
      <c r="EH4" s="413">
        <v>2500</v>
      </c>
      <c r="EI4" s="413">
        <v>6885</v>
      </c>
      <c r="EJ4" s="413">
        <v>886</v>
      </c>
      <c r="EK4" s="413">
        <v>25530</v>
      </c>
      <c r="EL4" s="77">
        <v>26880</v>
      </c>
      <c r="EM4" s="413">
        <v>40600</v>
      </c>
      <c r="EN4" s="413">
        <v>2000</v>
      </c>
    </row>
    <row r="5" spans="1:144" ht="22.5" customHeight="1">
      <c r="A5" s="1129"/>
      <c r="B5" s="1128" t="s">
        <v>480</v>
      </c>
      <c r="C5" s="1128"/>
      <c r="D5" s="96">
        <v>22.5</v>
      </c>
      <c r="E5" s="96">
        <v>22.5</v>
      </c>
      <c r="F5" s="105">
        <v>250</v>
      </c>
      <c r="G5" s="96">
        <v>250</v>
      </c>
      <c r="H5" s="105">
        <v>210</v>
      </c>
      <c r="I5" s="96">
        <v>386</v>
      </c>
      <c r="J5" s="105">
        <v>2000</v>
      </c>
      <c r="K5" s="96">
        <v>150</v>
      </c>
      <c r="L5" s="601">
        <v>424</v>
      </c>
      <c r="M5" s="96">
        <v>465.4</v>
      </c>
      <c r="N5" s="107">
        <v>1900</v>
      </c>
      <c r="O5" s="96">
        <v>386</v>
      </c>
      <c r="P5" s="96">
        <v>583.3</v>
      </c>
      <c r="Q5" s="86">
        <v>1309</v>
      </c>
      <c r="R5" s="87">
        <v>1256.7</v>
      </c>
      <c r="S5" s="85">
        <v>1258</v>
      </c>
      <c r="T5" s="85">
        <v>1026</v>
      </c>
      <c r="U5" s="85">
        <v>1014</v>
      </c>
      <c r="V5" s="85">
        <v>1162</v>
      </c>
      <c r="W5" s="85">
        <v>423.9</v>
      </c>
      <c r="X5" s="85">
        <v>150</v>
      </c>
      <c r="Y5" s="85">
        <v>1436</v>
      </c>
      <c r="Z5" s="85">
        <v>400</v>
      </c>
      <c r="AA5" s="87">
        <v>313.8</v>
      </c>
      <c r="AB5" s="85">
        <v>277</v>
      </c>
      <c r="AC5" s="96">
        <v>403</v>
      </c>
      <c r="AD5" s="96">
        <v>240.1</v>
      </c>
      <c r="AE5" s="96">
        <v>263.7</v>
      </c>
      <c r="AF5" s="96">
        <v>465.4</v>
      </c>
      <c r="AG5" s="96">
        <v>232.4</v>
      </c>
      <c r="AH5" s="96">
        <v>146</v>
      </c>
      <c r="AI5" s="96">
        <v>374</v>
      </c>
      <c r="AJ5" s="96">
        <v>312</v>
      </c>
      <c r="AK5" s="96">
        <v>193.8</v>
      </c>
      <c r="AL5" s="96">
        <v>575.1</v>
      </c>
      <c r="AM5" s="96">
        <v>700</v>
      </c>
      <c r="AN5" s="96">
        <v>150</v>
      </c>
      <c r="AO5" s="96">
        <v>150</v>
      </c>
      <c r="AP5" s="84">
        <v>820</v>
      </c>
      <c r="AQ5" s="84">
        <v>820</v>
      </c>
      <c r="AR5" s="84">
        <v>965</v>
      </c>
      <c r="AS5" s="84">
        <v>80</v>
      </c>
      <c r="AT5" s="84">
        <v>500</v>
      </c>
      <c r="AU5" s="91">
        <v>107.5</v>
      </c>
      <c r="AV5" s="84">
        <v>120</v>
      </c>
      <c r="AW5" s="84">
        <v>250</v>
      </c>
      <c r="AX5" s="84">
        <v>150</v>
      </c>
      <c r="AY5" s="91">
        <v>75.4</v>
      </c>
      <c r="AZ5" s="84">
        <v>85</v>
      </c>
      <c r="BA5" s="84">
        <v>47</v>
      </c>
      <c r="BB5" s="84">
        <v>90</v>
      </c>
      <c r="BC5" s="84">
        <v>98</v>
      </c>
      <c r="BD5" s="91">
        <v>50.1</v>
      </c>
      <c r="BE5" s="84">
        <v>76</v>
      </c>
      <c r="BF5" s="84">
        <v>37</v>
      </c>
      <c r="BG5" s="84">
        <v>57</v>
      </c>
      <c r="BH5" s="92">
        <v>72.45</v>
      </c>
      <c r="BI5" s="91">
        <v>70.2</v>
      </c>
      <c r="BJ5" s="84">
        <v>273</v>
      </c>
      <c r="BK5" s="91">
        <v>126.1</v>
      </c>
      <c r="BL5" s="91">
        <v>85.8</v>
      </c>
      <c r="BM5" s="91">
        <v>36.2</v>
      </c>
      <c r="BN5" s="84">
        <v>73</v>
      </c>
      <c r="BO5" s="91">
        <v>24.6</v>
      </c>
      <c r="BP5" s="84">
        <v>106</v>
      </c>
      <c r="BQ5" s="91">
        <v>39.7</v>
      </c>
      <c r="BR5" s="91">
        <v>57.3</v>
      </c>
      <c r="BS5" s="84">
        <v>3512</v>
      </c>
      <c r="BT5" s="84">
        <v>3512</v>
      </c>
      <c r="BU5" s="84">
        <v>901</v>
      </c>
      <c r="BV5" s="91">
        <v>270.8</v>
      </c>
      <c r="BW5" s="84">
        <v>262</v>
      </c>
      <c r="BX5" s="91">
        <v>340.6</v>
      </c>
      <c r="BY5" s="91">
        <v>322.7</v>
      </c>
      <c r="BZ5" s="91">
        <v>1285.9</v>
      </c>
      <c r="CA5" s="84">
        <v>1181</v>
      </c>
      <c r="CB5" s="84">
        <v>1561</v>
      </c>
      <c r="CC5" s="84">
        <v>528</v>
      </c>
      <c r="CD5" s="84">
        <v>532</v>
      </c>
      <c r="CE5" s="84">
        <v>50</v>
      </c>
      <c r="CF5" s="84">
        <v>525</v>
      </c>
      <c r="CG5" s="92">
        <v>727.65</v>
      </c>
      <c r="CH5" s="84">
        <v>1126</v>
      </c>
      <c r="CI5" s="84">
        <v>1235</v>
      </c>
      <c r="CJ5" s="84">
        <v>1235</v>
      </c>
      <c r="CK5" s="84">
        <v>1983</v>
      </c>
      <c r="CL5" s="84">
        <v>1375</v>
      </c>
      <c r="CM5" s="84">
        <v>1436</v>
      </c>
      <c r="CN5" s="84">
        <v>1668</v>
      </c>
      <c r="CO5" s="84">
        <v>1705</v>
      </c>
      <c r="CP5" s="106">
        <v>22.5</v>
      </c>
      <c r="CQ5" s="106">
        <v>20</v>
      </c>
      <c r="CR5" s="106">
        <v>23.4</v>
      </c>
      <c r="CS5" s="84">
        <v>22600</v>
      </c>
      <c r="CT5" s="284">
        <v>20400</v>
      </c>
      <c r="CU5" s="284">
        <v>20400</v>
      </c>
      <c r="CV5" s="284">
        <v>20400</v>
      </c>
      <c r="CW5" s="284">
        <v>20420</v>
      </c>
      <c r="CX5" s="284">
        <v>20410</v>
      </c>
      <c r="CY5" s="284">
        <v>20430</v>
      </c>
      <c r="CZ5" s="284">
        <v>20430</v>
      </c>
      <c r="DA5" s="84">
        <v>20430</v>
      </c>
      <c r="DB5" s="84">
        <v>20430</v>
      </c>
      <c r="DC5" s="84">
        <v>20430</v>
      </c>
      <c r="DD5" s="84">
        <v>20410</v>
      </c>
      <c r="DE5" s="84">
        <v>20410</v>
      </c>
      <c r="DF5" s="84">
        <v>20410</v>
      </c>
      <c r="DG5" s="84">
        <v>20430</v>
      </c>
      <c r="DH5" s="84">
        <v>20410</v>
      </c>
      <c r="DI5" s="103">
        <v>250</v>
      </c>
      <c r="DJ5" s="103">
        <v>250</v>
      </c>
      <c r="DK5" s="103">
        <v>250</v>
      </c>
      <c r="DL5" s="112">
        <v>330</v>
      </c>
      <c r="DM5" s="84">
        <v>293</v>
      </c>
      <c r="DN5" s="84">
        <v>2200</v>
      </c>
      <c r="DO5" s="84">
        <v>430</v>
      </c>
      <c r="DP5" s="84">
        <v>800</v>
      </c>
      <c r="DQ5" s="84">
        <v>0</v>
      </c>
      <c r="DR5" s="84">
        <v>0</v>
      </c>
      <c r="DS5" s="84">
        <v>293</v>
      </c>
      <c r="DT5" s="84">
        <v>2200</v>
      </c>
      <c r="DU5" s="84">
        <v>430</v>
      </c>
      <c r="DV5" s="84">
        <v>800</v>
      </c>
      <c r="DW5" s="84">
        <v>0</v>
      </c>
      <c r="DX5" s="84">
        <v>0</v>
      </c>
      <c r="DY5" s="84">
        <v>1000</v>
      </c>
      <c r="DZ5" s="84">
        <v>700</v>
      </c>
      <c r="EA5" s="84">
        <v>1000</v>
      </c>
      <c r="EB5" s="84">
        <v>700</v>
      </c>
      <c r="EC5" s="112">
        <v>121.3</v>
      </c>
      <c r="ED5" s="107">
        <v>125</v>
      </c>
      <c r="EE5" s="112">
        <v>121.3</v>
      </c>
      <c r="EF5" s="107">
        <v>125</v>
      </c>
      <c r="EG5" s="413">
        <v>1520</v>
      </c>
      <c r="EH5" s="413">
        <v>250</v>
      </c>
      <c r="EI5" s="413">
        <v>365</v>
      </c>
      <c r="EJ5" s="413">
        <v>410.6</v>
      </c>
      <c r="EK5" s="413">
        <v>19.3</v>
      </c>
      <c r="EL5" s="77">
        <v>194</v>
      </c>
      <c r="EM5" s="413">
        <v>31.4</v>
      </c>
      <c r="EN5" s="413">
        <v>150</v>
      </c>
    </row>
    <row r="6" spans="1:144" ht="22.5" customHeight="1">
      <c r="A6" s="1133" t="s">
        <v>481</v>
      </c>
      <c r="B6" s="1128" t="s">
        <v>482</v>
      </c>
      <c r="C6" s="1128"/>
      <c r="D6" s="105">
        <v>6000</v>
      </c>
      <c r="E6" s="84">
        <v>5000</v>
      </c>
      <c r="F6" s="105">
        <v>9996</v>
      </c>
      <c r="G6" s="84">
        <v>9996</v>
      </c>
      <c r="H6" s="105">
        <v>9996</v>
      </c>
      <c r="I6" s="84">
        <v>808</v>
      </c>
      <c r="J6" s="105">
        <v>0</v>
      </c>
      <c r="K6" s="84">
        <v>14490</v>
      </c>
      <c r="L6" s="105">
        <v>23100</v>
      </c>
      <c r="M6" s="84">
        <v>45360</v>
      </c>
      <c r="N6" s="107">
        <v>2423</v>
      </c>
      <c r="O6" s="84">
        <v>0</v>
      </c>
      <c r="P6" s="84">
        <v>0</v>
      </c>
      <c r="Q6" s="84">
        <v>2100</v>
      </c>
      <c r="R6" s="84">
        <v>84000</v>
      </c>
      <c r="S6" s="84">
        <v>25641</v>
      </c>
      <c r="T6" s="84">
        <v>4578</v>
      </c>
      <c r="U6" s="84">
        <v>7560</v>
      </c>
      <c r="V6" s="84">
        <v>25641</v>
      </c>
      <c r="W6" s="84">
        <v>23100</v>
      </c>
      <c r="X6" s="84">
        <v>14490</v>
      </c>
      <c r="Y6" s="84">
        <v>44625</v>
      </c>
      <c r="Z6" s="84">
        <v>35301</v>
      </c>
      <c r="AA6" s="84">
        <v>34125</v>
      </c>
      <c r="AB6" s="84">
        <v>34125</v>
      </c>
      <c r="AC6" s="84">
        <v>8400</v>
      </c>
      <c r="AD6" s="84">
        <v>22019</v>
      </c>
      <c r="AE6" s="84">
        <v>12810</v>
      </c>
      <c r="AF6" s="84">
        <v>45360</v>
      </c>
      <c r="AG6" s="84">
        <v>28350</v>
      </c>
      <c r="AH6" s="84">
        <v>14399</v>
      </c>
      <c r="AI6" s="84">
        <v>7980</v>
      </c>
      <c r="AJ6" s="84">
        <v>0</v>
      </c>
      <c r="AK6" s="84">
        <v>0</v>
      </c>
      <c r="AL6" s="84">
        <v>69300</v>
      </c>
      <c r="AM6" s="84">
        <v>45150</v>
      </c>
      <c r="AN6" s="84">
        <v>12600</v>
      </c>
      <c r="AO6" s="97">
        <v>6300</v>
      </c>
      <c r="AP6" s="84">
        <v>0</v>
      </c>
      <c r="AQ6" s="84">
        <v>33600</v>
      </c>
      <c r="AR6" s="84">
        <v>0</v>
      </c>
      <c r="AS6" s="84">
        <v>16905</v>
      </c>
      <c r="AT6" s="84">
        <v>276308</v>
      </c>
      <c r="AU6" s="84">
        <v>28712</v>
      </c>
      <c r="AV6" s="84">
        <v>38346</v>
      </c>
      <c r="AW6" s="84">
        <v>10500</v>
      </c>
      <c r="AX6" s="84">
        <v>42105</v>
      </c>
      <c r="AY6" s="84">
        <v>0</v>
      </c>
      <c r="AZ6" s="84">
        <v>270000</v>
      </c>
      <c r="BA6" s="84">
        <v>0</v>
      </c>
      <c r="BB6" s="84">
        <v>19440</v>
      </c>
      <c r="BC6" s="84">
        <v>0</v>
      </c>
      <c r="BD6" s="84">
        <v>514490</v>
      </c>
      <c r="BE6" s="84">
        <v>19488</v>
      </c>
      <c r="BF6" s="84">
        <v>1733</v>
      </c>
      <c r="BG6" s="84">
        <v>1733</v>
      </c>
      <c r="BH6" s="84">
        <v>1890</v>
      </c>
      <c r="BI6" s="84">
        <v>0</v>
      </c>
      <c r="BJ6" s="84">
        <v>297000</v>
      </c>
      <c r="BK6" s="84">
        <v>270000</v>
      </c>
      <c r="BL6" s="84">
        <v>0</v>
      </c>
      <c r="BM6" s="84">
        <v>94122</v>
      </c>
      <c r="BN6" s="84">
        <v>11270</v>
      </c>
      <c r="BO6" s="84">
        <v>0</v>
      </c>
      <c r="BP6" s="84">
        <v>12250</v>
      </c>
      <c r="BQ6" s="84">
        <v>0</v>
      </c>
      <c r="BR6" s="84">
        <v>2205</v>
      </c>
      <c r="BS6" s="84">
        <v>1800000</v>
      </c>
      <c r="BT6" s="84">
        <v>1890000</v>
      </c>
      <c r="BU6" s="84">
        <v>28703</v>
      </c>
      <c r="BV6" s="84">
        <v>0</v>
      </c>
      <c r="BW6" s="84">
        <v>0</v>
      </c>
      <c r="BX6" s="84">
        <v>0</v>
      </c>
      <c r="BY6" s="84">
        <v>0</v>
      </c>
      <c r="BZ6" s="84">
        <v>0</v>
      </c>
      <c r="CA6" s="84">
        <v>0</v>
      </c>
      <c r="CB6" s="84">
        <v>0</v>
      </c>
      <c r="CC6" s="84">
        <v>0</v>
      </c>
      <c r="CD6" s="84">
        <v>22500</v>
      </c>
      <c r="CE6" s="84">
        <v>0</v>
      </c>
      <c r="CF6" s="84">
        <v>0</v>
      </c>
      <c r="CG6" s="84">
        <v>0</v>
      </c>
      <c r="CH6" s="84">
        <v>0</v>
      </c>
      <c r="CI6" s="84">
        <v>0</v>
      </c>
      <c r="CJ6" s="84">
        <v>0</v>
      </c>
      <c r="CK6" s="84">
        <v>21452</v>
      </c>
      <c r="CL6" s="84">
        <v>0</v>
      </c>
      <c r="CM6" s="84">
        <v>0</v>
      </c>
      <c r="CN6" s="84">
        <v>0</v>
      </c>
      <c r="CO6" s="84">
        <v>0</v>
      </c>
      <c r="CP6" s="103">
        <v>8610</v>
      </c>
      <c r="CQ6" s="103">
        <v>14700</v>
      </c>
      <c r="CR6" s="103">
        <v>2520</v>
      </c>
      <c r="CS6" s="107">
        <v>2520</v>
      </c>
      <c r="CT6" s="84">
        <v>15750</v>
      </c>
      <c r="CU6" s="84">
        <v>15750</v>
      </c>
      <c r="CV6" s="84">
        <v>0</v>
      </c>
      <c r="CW6" s="84">
        <v>3150</v>
      </c>
      <c r="CX6" s="84">
        <v>14490</v>
      </c>
      <c r="CY6" s="84">
        <v>6300</v>
      </c>
      <c r="CZ6" s="84">
        <v>0</v>
      </c>
      <c r="DA6" s="84">
        <v>9178</v>
      </c>
      <c r="DB6" s="84">
        <v>9178</v>
      </c>
      <c r="DC6" s="84">
        <v>0</v>
      </c>
      <c r="DD6" s="84">
        <v>13165</v>
      </c>
      <c r="DE6" s="84">
        <v>13165</v>
      </c>
      <c r="DF6" s="84">
        <v>12600</v>
      </c>
      <c r="DG6" s="84">
        <v>12942</v>
      </c>
      <c r="DH6" s="84">
        <v>4515</v>
      </c>
      <c r="DI6" s="103">
        <v>9996</v>
      </c>
      <c r="DJ6" s="103">
        <v>9996</v>
      </c>
      <c r="DK6" s="103">
        <v>9996</v>
      </c>
      <c r="DL6" s="285"/>
      <c r="DM6" s="84">
        <v>8400</v>
      </c>
      <c r="DN6" s="84">
        <v>0</v>
      </c>
      <c r="DO6" s="84">
        <v>8820</v>
      </c>
      <c r="DP6" s="84">
        <v>735</v>
      </c>
      <c r="DQ6" s="84">
        <v>2352</v>
      </c>
      <c r="DR6" s="84">
        <v>2352</v>
      </c>
      <c r="DS6" s="84">
        <v>8400</v>
      </c>
      <c r="DT6" s="84">
        <v>0</v>
      </c>
      <c r="DU6" s="84">
        <v>8820</v>
      </c>
      <c r="DV6" s="84">
        <v>735</v>
      </c>
      <c r="DW6" s="84">
        <v>2352</v>
      </c>
      <c r="DX6" s="84">
        <v>2352</v>
      </c>
      <c r="DY6" s="84">
        <v>2100</v>
      </c>
      <c r="DZ6" s="84">
        <v>2100</v>
      </c>
      <c r="EA6" s="84">
        <v>1400</v>
      </c>
      <c r="EB6" s="84">
        <v>1400</v>
      </c>
      <c r="EC6" s="107">
        <v>105525</v>
      </c>
      <c r="ED6" s="107">
        <v>105525</v>
      </c>
      <c r="EE6" s="107">
        <v>42945</v>
      </c>
      <c r="EF6" s="107">
        <v>42945</v>
      </c>
      <c r="EG6" s="413"/>
      <c r="EH6" s="413"/>
      <c r="EI6" s="413">
        <v>31824</v>
      </c>
      <c r="EJ6" s="413">
        <v>8269</v>
      </c>
      <c r="EK6" s="413">
        <v>493812</v>
      </c>
      <c r="EL6" s="413">
        <v>673960</v>
      </c>
      <c r="EM6" s="413"/>
      <c r="EN6" s="413"/>
    </row>
    <row r="7" spans="1:144" ht="22.5" customHeight="1">
      <c r="A7" s="1133"/>
      <c r="B7" s="1128" t="s">
        <v>483</v>
      </c>
      <c r="C7" s="1128"/>
      <c r="D7" s="96">
        <v>14824</v>
      </c>
      <c r="E7" s="96">
        <v>8557</v>
      </c>
      <c r="F7" s="105">
        <v>4431</v>
      </c>
      <c r="G7" s="96">
        <v>4431</v>
      </c>
      <c r="H7" s="105">
        <v>4431</v>
      </c>
      <c r="I7" s="96">
        <v>8983</v>
      </c>
      <c r="J7" s="105">
        <v>38194</v>
      </c>
      <c r="K7" s="96">
        <v>36241</v>
      </c>
      <c r="L7" s="105">
        <v>34367</v>
      </c>
      <c r="M7" s="96">
        <v>105486</v>
      </c>
      <c r="N7" s="107">
        <v>20790</v>
      </c>
      <c r="O7" s="96">
        <v>8983</v>
      </c>
      <c r="P7" s="96">
        <v>8628</v>
      </c>
      <c r="Q7" s="84">
        <v>94963</v>
      </c>
      <c r="R7" s="84">
        <v>79811</v>
      </c>
      <c r="S7" s="84">
        <v>109801</v>
      </c>
      <c r="T7" s="84">
        <v>74072</v>
      </c>
      <c r="U7" s="84">
        <v>63572</v>
      </c>
      <c r="V7" s="84">
        <v>109801</v>
      </c>
      <c r="W7" s="84">
        <v>34367</v>
      </c>
      <c r="X7" s="84">
        <v>36241</v>
      </c>
      <c r="Y7" s="84">
        <v>48414</v>
      </c>
      <c r="Z7" s="84">
        <v>63948</v>
      </c>
      <c r="AA7" s="84">
        <v>53889</v>
      </c>
      <c r="AB7" s="84">
        <v>36034</v>
      </c>
      <c r="AC7" s="84">
        <v>11960</v>
      </c>
      <c r="AD7" s="84">
        <v>114177</v>
      </c>
      <c r="AE7" s="84">
        <v>106465</v>
      </c>
      <c r="AF7" s="84">
        <v>105486</v>
      </c>
      <c r="AG7" s="84">
        <v>58486</v>
      </c>
      <c r="AH7" s="84">
        <v>96481</v>
      </c>
      <c r="AI7" s="84">
        <v>156393</v>
      </c>
      <c r="AJ7" s="84">
        <v>89954</v>
      </c>
      <c r="AK7" s="84">
        <v>65374</v>
      </c>
      <c r="AL7" s="84">
        <v>103618</v>
      </c>
      <c r="AM7" s="84">
        <v>67137</v>
      </c>
      <c r="AN7" s="84">
        <v>25725</v>
      </c>
      <c r="AO7" s="97">
        <v>9883</v>
      </c>
      <c r="AP7" s="84">
        <v>38136</v>
      </c>
      <c r="AQ7" s="84">
        <v>45360</v>
      </c>
      <c r="AR7" s="84">
        <v>3360</v>
      </c>
      <c r="AS7" s="84">
        <v>35490</v>
      </c>
      <c r="AT7" s="84">
        <v>45255</v>
      </c>
      <c r="AU7" s="84">
        <v>14994</v>
      </c>
      <c r="AV7" s="84">
        <v>14994</v>
      </c>
      <c r="AW7" s="84">
        <v>55741</v>
      </c>
      <c r="AX7" s="84">
        <v>15582</v>
      </c>
      <c r="AY7" s="84">
        <v>19973</v>
      </c>
      <c r="AZ7" s="84">
        <v>113400</v>
      </c>
      <c r="BA7" s="84">
        <v>87454</v>
      </c>
      <c r="BB7" s="84">
        <v>20413</v>
      </c>
      <c r="BC7" s="84">
        <v>79349</v>
      </c>
      <c r="BD7" s="84">
        <v>79467</v>
      </c>
      <c r="BE7" s="84">
        <v>144375</v>
      </c>
      <c r="BF7" s="84">
        <v>87857</v>
      </c>
      <c r="BG7" s="84">
        <v>87857</v>
      </c>
      <c r="BH7" s="84">
        <v>102927</v>
      </c>
      <c r="BI7" s="84">
        <v>106179</v>
      </c>
      <c r="BJ7" s="84">
        <v>34398</v>
      </c>
      <c r="BK7" s="84">
        <v>10154</v>
      </c>
      <c r="BL7" s="84">
        <v>46358</v>
      </c>
      <c r="BM7" s="84">
        <v>61059</v>
      </c>
      <c r="BN7" s="84">
        <v>24649</v>
      </c>
      <c r="BO7" s="84">
        <v>8228</v>
      </c>
      <c r="BP7" s="84">
        <v>65038</v>
      </c>
      <c r="BQ7" s="84">
        <v>24150</v>
      </c>
      <c r="BR7" s="84">
        <v>35028</v>
      </c>
      <c r="BS7" s="84">
        <v>20685</v>
      </c>
      <c r="BT7" s="84">
        <v>20685</v>
      </c>
      <c r="BU7" s="84">
        <v>58563</v>
      </c>
      <c r="BV7" s="84">
        <v>57236</v>
      </c>
      <c r="BW7" s="84">
        <v>53218</v>
      </c>
      <c r="BX7" s="84">
        <v>48090</v>
      </c>
      <c r="BY7" s="84">
        <v>70309</v>
      </c>
      <c r="BZ7" s="84">
        <v>62667</v>
      </c>
      <c r="CA7" s="84">
        <v>38194</v>
      </c>
      <c r="CB7" s="84">
        <v>99238</v>
      </c>
      <c r="CC7" s="84">
        <v>54317</v>
      </c>
      <c r="CD7" s="84">
        <v>45750</v>
      </c>
      <c r="CE7" s="84">
        <v>10143</v>
      </c>
      <c r="CF7" s="84">
        <v>1344</v>
      </c>
      <c r="CG7" s="84">
        <v>6358</v>
      </c>
      <c r="CH7" s="84">
        <v>27216</v>
      </c>
      <c r="CI7" s="84">
        <v>66570</v>
      </c>
      <c r="CJ7" s="84">
        <v>66570</v>
      </c>
      <c r="CK7" s="84">
        <v>53634</v>
      </c>
      <c r="CL7" s="84">
        <v>25620</v>
      </c>
      <c r="CM7" s="84">
        <v>60239</v>
      </c>
      <c r="CN7" s="84">
        <v>69098</v>
      </c>
      <c r="CO7" s="84">
        <v>198240</v>
      </c>
      <c r="CP7" s="103">
        <v>11186</v>
      </c>
      <c r="CQ7" s="103">
        <v>11025</v>
      </c>
      <c r="CR7" s="103">
        <v>11346</v>
      </c>
      <c r="CS7" s="107">
        <v>7665</v>
      </c>
      <c r="CT7" s="84">
        <v>10080</v>
      </c>
      <c r="CU7" s="84">
        <v>12600</v>
      </c>
      <c r="CV7" s="84">
        <v>11340</v>
      </c>
      <c r="CW7" s="84">
        <v>10868</v>
      </c>
      <c r="CX7" s="84">
        <v>15960</v>
      </c>
      <c r="CY7" s="84">
        <v>12338</v>
      </c>
      <c r="CZ7" s="84">
        <v>12338</v>
      </c>
      <c r="DA7" s="84">
        <v>12012</v>
      </c>
      <c r="DB7" s="84">
        <v>18438</v>
      </c>
      <c r="DC7" s="84">
        <v>12852</v>
      </c>
      <c r="DD7" s="84">
        <v>10878</v>
      </c>
      <c r="DE7" s="84">
        <v>11424</v>
      </c>
      <c r="DF7" s="84">
        <v>9996</v>
      </c>
      <c r="DG7" s="84">
        <v>10143</v>
      </c>
      <c r="DH7" s="84">
        <v>13041</v>
      </c>
      <c r="DI7" s="103">
        <v>4431</v>
      </c>
      <c r="DJ7" s="103">
        <v>4431</v>
      </c>
      <c r="DK7" s="103">
        <v>4431</v>
      </c>
      <c r="DL7" s="285">
        <v>6513</v>
      </c>
      <c r="DM7" s="84">
        <v>10605</v>
      </c>
      <c r="DN7" s="84">
        <v>33340</v>
      </c>
      <c r="DO7" s="84">
        <v>843</v>
      </c>
      <c r="DP7" s="84">
        <v>2898</v>
      </c>
      <c r="DQ7" s="84">
        <v>16155</v>
      </c>
      <c r="DR7" s="84">
        <v>25445</v>
      </c>
      <c r="DS7" s="84">
        <v>10605</v>
      </c>
      <c r="DT7" s="84">
        <v>33340</v>
      </c>
      <c r="DU7" s="84">
        <v>843</v>
      </c>
      <c r="DV7" s="84">
        <v>2898</v>
      </c>
      <c r="DW7" s="84">
        <v>16155</v>
      </c>
      <c r="DX7" s="84">
        <v>25445</v>
      </c>
      <c r="DY7" s="84">
        <v>54432</v>
      </c>
      <c r="DZ7" s="84">
        <v>54432</v>
      </c>
      <c r="EA7" s="84">
        <v>54432</v>
      </c>
      <c r="EB7" s="84">
        <v>54432</v>
      </c>
      <c r="EC7" s="107">
        <v>94536</v>
      </c>
      <c r="ED7" s="107">
        <v>94536</v>
      </c>
      <c r="EE7" s="107">
        <v>58752</v>
      </c>
      <c r="EF7" s="107">
        <v>58752</v>
      </c>
      <c r="EG7" s="413">
        <v>51550</v>
      </c>
      <c r="EH7" s="413">
        <v>37840</v>
      </c>
      <c r="EI7" s="413">
        <v>34710</v>
      </c>
      <c r="EJ7" s="413">
        <v>28975</v>
      </c>
      <c r="EK7" s="413">
        <v>24728</v>
      </c>
      <c r="EL7" s="413">
        <v>8657</v>
      </c>
      <c r="EM7" s="413">
        <v>38568</v>
      </c>
      <c r="EN7" s="413">
        <v>8188</v>
      </c>
    </row>
    <row r="8" spans="1:144" ht="22.5" customHeight="1">
      <c r="A8" s="1133"/>
      <c r="B8" s="1128" t="s">
        <v>484</v>
      </c>
      <c r="C8" s="1128"/>
      <c r="D8" s="105">
        <v>13117</v>
      </c>
      <c r="E8" s="84">
        <v>7119</v>
      </c>
      <c r="F8" s="105">
        <v>7925</v>
      </c>
      <c r="G8" s="84">
        <v>7925</v>
      </c>
      <c r="H8" s="105">
        <v>7925</v>
      </c>
      <c r="I8" s="84">
        <v>5728</v>
      </c>
      <c r="J8" s="105">
        <v>34923</v>
      </c>
      <c r="K8" s="84">
        <v>15796</v>
      </c>
      <c r="L8" s="105">
        <v>3402</v>
      </c>
      <c r="M8" s="84">
        <v>16434</v>
      </c>
      <c r="N8" s="107">
        <v>22865</v>
      </c>
      <c r="O8" s="84">
        <v>5728</v>
      </c>
      <c r="P8" s="84">
        <v>7320</v>
      </c>
      <c r="Q8" s="84">
        <v>23167</v>
      </c>
      <c r="R8" s="84">
        <v>20580</v>
      </c>
      <c r="S8" s="84">
        <v>7358</v>
      </c>
      <c r="T8" s="84">
        <v>10988</v>
      </c>
      <c r="U8" s="84">
        <v>11072</v>
      </c>
      <c r="V8" s="84">
        <v>7947</v>
      </c>
      <c r="W8" s="84">
        <v>3402</v>
      </c>
      <c r="X8" s="84">
        <v>15796</v>
      </c>
      <c r="Y8" s="84">
        <v>11768</v>
      </c>
      <c r="Z8" s="84">
        <v>11322</v>
      </c>
      <c r="AA8" s="84">
        <v>29783</v>
      </c>
      <c r="AB8" s="84">
        <v>15687</v>
      </c>
      <c r="AC8" s="84">
        <v>13923</v>
      </c>
      <c r="AD8" s="84">
        <v>27381</v>
      </c>
      <c r="AE8" s="84">
        <v>60385</v>
      </c>
      <c r="AF8" s="84">
        <v>16434</v>
      </c>
      <c r="AG8" s="84">
        <v>17447</v>
      </c>
      <c r="AH8" s="84">
        <v>11651</v>
      </c>
      <c r="AI8" s="84">
        <v>81561</v>
      </c>
      <c r="AJ8" s="84">
        <v>13051</v>
      </c>
      <c r="AK8" s="84">
        <v>19697</v>
      </c>
      <c r="AL8" s="84">
        <v>13324</v>
      </c>
      <c r="AM8" s="84">
        <v>3477</v>
      </c>
      <c r="AN8" s="84">
        <v>15750</v>
      </c>
      <c r="AO8" s="97">
        <v>12068</v>
      </c>
      <c r="AP8" s="84">
        <v>5041</v>
      </c>
      <c r="AQ8" s="84">
        <v>5041</v>
      </c>
      <c r="AR8" s="84">
        <v>4662</v>
      </c>
      <c r="AS8" s="84">
        <v>4841</v>
      </c>
      <c r="AT8" s="84">
        <v>63721</v>
      </c>
      <c r="AU8" s="84">
        <v>4809</v>
      </c>
      <c r="AV8" s="84">
        <v>3709</v>
      </c>
      <c r="AW8" s="84">
        <v>18858</v>
      </c>
      <c r="AX8" s="84">
        <v>0</v>
      </c>
      <c r="AY8" s="84">
        <v>7294</v>
      </c>
      <c r="AZ8" s="84">
        <v>25541</v>
      </c>
      <c r="BA8" s="84">
        <v>23831</v>
      </c>
      <c r="BB8" s="84">
        <v>58160</v>
      </c>
      <c r="BC8" s="84">
        <v>12615</v>
      </c>
      <c r="BD8" s="84">
        <v>76961</v>
      </c>
      <c r="BE8" s="84">
        <v>25145</v>
      </c>
      <c r="BF8" s="84">
        <v>110258</v>
      </c>
      <c r="BG8" s="84">
        <v>110258</v>
      </c>
      <c r="BH8" s="84">
        <v>45500</v>
      </c>
      <c r="BI8" s="84">
        <v>55778</v>
      </c>
      <c r="BJ8" s="84">
        <v>25643</v>
      </c>
      <c r="BK8" s="84">
        <v>47882</v>
      </c>
      <c r="BL8" s="84">
        <v>21137</v>
      </c>
      <c r="BM8" s="84">
        <v>11698</v>
      </c>
      <c r="BN8" s="84">
        <v>13483</v>
      </c>
      <c r="BO8" s="84">
        <v>12440</v>
      </c>
      <c r="BP8" s="84">
        <v>17893</v>
      </c>
      <c r="BQ8" s="84">
        <v>29105</v>
      </c>
      <c r="BR8" s="84">
        <v>81232</v>
      </c>
      <c r="BS8" s="84">
        <v>29105</v>
      </c>
      <c r="BT8" s="84">
        <v>29105</v>
      </c>
      <c r="BU8" s="84">
        <v>0</v>
      </c>
      <c r="BV8" s="84">
        <v>43408</v>
      </c>
      <c r="BW8" s="84">
        <v>36642</v>
      </c>
      <c r="BX8" s="84">
        <v>35551</v>
      </c>
      <c r="BY8" s="84">
        <v>45640</v>
      </c>
      <c r="BZ8" s="84">
        <v>38068</v>
      </c>
      <c r="CA8" s="84">
        <v>34923</v>
      </c>
      <c r="CB8" s="84">
        <v>45759</v>
      </c>
      <c r="CC8" s="84">
        <v>3569</v>
      </c>
      <c r="CD8" s="84">
        <v>5956</v>
      </c>
      <c r="CE8" s="84">
        <v>7136</v>
      </c>
      <c r="CF8" s="84">
        <v>4410</v>
      </c>
      <c r="CG8" s="84">
        <v>11546</v>
      </c>
      <c r="CH8" s="84">
        <v>12112</v>
      </c>
      <c r="CI8" s="84">
        <v>8523</v>
      </c>
      <c r="CJ8" s="84">
        <v>8523</v>
      </c>
      <c r="CK8" s="84">
        <v>10322</v>
      </c>
      <c r="CL8" s="84">
        <v>12867</v>
      </c>
      <c r="CM8" s="84">
        <v>24784</v>
      </c>
      <c r="CN8" s="84">
        <v>7003</v>
      </c>
      <c r="CO8" s="84">
        <v>44713</v>
      </c>
      <c r="CP8" s="103">
        <v>13117</v>
      </c>
      <c r="CQ8" s="103">
        <v>13663</v>
      </c>
      <c r="CR8" s="103">
        <v>12571</v>
      </c>
      <c r="CS8" s="107">
        <v>4868</v>
      </c>
      <c r="CT8" s="84">
        <v>5103</v>
      </c>
      <c r="CU8" s="84">
        <v>5103</v>
      </c>
      <c r="CV8" s="84">
        <v>5103</v>
      </c>
      <c r="CW8" s="84">
        <v>6644</v>
      </c>
      <c r="CX8" s="84">
        <v>10540</v>
      </c>
      <c r="CY8" s="84">
        <v>3747</v>
      </c>
      <c r="CZ8" s="84">
        <v>839</v>
      </c>
      <c r="DA8" s="84">
        <v>12635</v>
      </c>
      <c r="DB8" s="84">
        <v>14456</v>
      </c>
      <c r="DC8" s="84">
        <v>3298</v>
      </c>
      <c r="DD8" s="84">
        <v>26178</v>
      </c>
      <c r="DE8" s="84">
        <v>21978</v>
      </c>
      <c r="DF8" s="84">
        <v>10071</v>
      </c>
      <c r="DG8" s="84">
        <v>6477</v>
      </c>
      <c r="DH8" s="84">
        <v>6477</v>
      </c>
      <c r="DI8" s="103">
        <v>7925</v>
      </c>
      <c r="DJ8" s="103">
        <v>7925</v>
      </c>
      <c r="DK8" s="103">
        <v>7925</v>
      </c>
      <c r="DL8" s="285">
        <v>6725</v>
      </c>
      <c r="DM8" s="84">
        <v>9233</v>
      </c>
      <c r="DN8" s="84">
        <v>1820</v>
      </c>
      <c r="DO8" s="84">
        <v>0</v>
      </c>
      <c r="DP8" s="84">
        <v>0</v>
      </c>
      <c r="DQ8" s="84">
        <v>0</v>
      </c>
      <c r="DR8" s="84">
        <v>0</v>
      </c>
      <c r="DS8" s="84">
        <v>9233</v>
      </c>
      <c r="DT8" s="84">
        <v>1820</v>
      </c>
      <c r="DU8" s="84">
        <v>0</v>
      </c>
      <c r="DV8" s="84">
        <v>0</v>
      </c>
      <c r="DW8" s="84">
        <v>0</v>
      </c>
      <c r="DX8" s="84">
        <v>0</v>
      </c>
      <c r="DY8" s="84">
        <v>0</v>
      </c>
      <c r="DZ8" s="84">
        <v>0</v>
      </c>
      <c r="EA8" s="84">
        <v>0</v>
      </c>
      <c r="EB8" s="84">
        <v>0</v>
      </c>
      <c r="EC8" s="107">
        <v>2247</v>
      </c>
      <c r="ED8" s="107">
        <v>2247</v>
      </c>
      <c r="EE8" s="107">
        <v>2247</v>
      </c>
      <c r="EF8" s="107">
        <v>2247</v>
      </c>
      <c r="EG8" s="413">
        <v>10222</v>
      </c>
      <c r="EH8" s="413">
        <v>45089</v>
      </c>
      <c r="EI8" s="413">
        <v>26659</v>
      </c>
      <c r="EJ8" s="413">
        <v>27516</v>
      </c>
      <c r="EK8" s="413">
        <v>82206</v>
      </c>
      <c r="EL8" s="413">
        <v>110067</v>
      </c>
      <c r="EM8" s="413">
        <v>46085</v>
      </c>
      <c r="EN8" s="413">
        <v>9024</v>
      </c>
    </row>
    <row r="9" spans="1:144" ht="22.5" customHeight="1">
      <c r="A9" s="1133"/>
      <c r="B9" s="1128" t="s">
        <v>485</v>
      </c>
      <c r="C9" s="1128"/>
      <c r="D9" s="96">
        <v>4569</v>
      </c>
      <c r="E9" s="96">
        <v>10162</v>
      </c>
      <c r="F9" s="105">
        <v>3391</v>
      </c>
      <c r="G9" s="96">
        <v>3391</v>
      </c>
      <c r="H9" s="105">
        <v>3391</v>
      </c>
      <c r="I9" s="96">
        <v>573</v>
      </c>
      <c r="J9" s="105">
        <v>2970</v>
      </c>
      <c r="K9" s="96">
        <v>4767</v>
      </c>
      <c r="L9" s="105">
        <v>406</v>
      </c>
      <c r="M9" s="96">
        <v>12558</v>
      </c>
      <c r="N9" s="107">
        <v>23639</v>
      </c>
      <c r="O9" s="96">
        <v>573</v>
      </c>
      <c r="P9" s="96">
        <v>2748</v>
      </c>
      <c r="Q9" s="84">
        <v>88566</v>
      </c>
      <c r="R9" s="84">
        <v>34652</v>
      </c>
      <c r="S9" s="84">
        <v>2221</v>
      </c>
      <c r="T9" s="84">
        <v>2028</v>
      </c>
      <c r="U9" s="84">
        <v>14717</v>
      </c>
      <c r="V9" s="84">
        <v>2352</v>
      </c>
      <c r="W9" s="84">
        <v>406</v>
      </c>
      <c r="X9" s="84">
        <v>4767</v>
      </c>
      <c r="Y9" s="84">
        <v>2181</v>
      </c>
      <c r="Z9" s="84">
        <v>1934</v>
      </c>
      <c r="AA9" s="84">
        <v>2432</v>
      </c>
      <c r="AB9" s="84">
        <v>1889</v>
      </c>
      <c r="AC9" s="84">
        <v>1269</v>
      </c>
      <c r="AD9" s="84">
        <v>1770</v>
      </c>
      <c r="AE9" s="84">
        <v>9098</v>
      </c>
      <c r="AF9" s="84">
        <v>12558</v>
      </c>
      <c r="AG9" s="84">
        <v>3494</v>
      </c>
      <c r="AH9" s="84">
        <v>10670</v>
      </c>
      <c r="AI9" s="84">
        <v>7868</v>
      </c>
      <c r="AJ9" s="84">
        <v>2656</v>
      </c>
      <c r="AK9" s="84">
        <v>6366</v>
      </c>
      <c r="AL9" s="84">
        <v>4429</v>
      </c>
      <c r="AM9" s="84">
        <v>1490</v>
      </c>
      <c r="AN9" s="84">
        <v>503</v>
      </c>
      <c r="AO9" s="97">
        <v>9284</v>
      </c>
      <c r="AP9" s="84">
        <v>4021</v>
      </c>
      <c r="AQ9" s="84">
        <v>1578</v>
      </c>
      <c r="AR9" s="84">
        <v>4809</v>
      </c>
      <c r="AS9" s="84">
        <v>2582</v>
      </c>
      <c r="AT9" s="84">
        <v>11358</v>
      </c>
      <c r="AU9" s="84">
        <v>1519</v>
      </c>
      <c r="AV9" s="84">
        <v>1466</v>
      </c>
      <c r="AW9" s="84">
        <v>1290</v>
      </c>
      <c r="AX9" s="84">
        <v>4726</v>
      </c>
      <c r="AY9" s="84">
        <v>546</v>
      </c>
      <c r="AZ9" s="84">
        <v>96000</v>
      </c>
      <c r="BA9" s="84">
        <v>39444</v>
      </c>
      <c r="BB9" s="84">
        <v>8050</v>
      </c>
      <c r="BC9" s="84">
        <v>664</v>
      </c>
      <c r="BD9" s="84">
        <v>66126</v>
      </c>
      <c r="BE9" s="84">
        <v>37368</v>
      </c>
      <c r="BF9" s="84">
        <v>28724</v>
      </c>
      <c r="BG9" s="84">
        <v>28898</v>
      </c>
      <c r="BH9" s="84">
        <v>8585</v>
      </c>
      <c r="BI9" s="84">
        <v>80710</v>
      </c>
      <c r="BJ9" s="84">
        <v>6157</v>
      </c>
      <c r="BK9" s="84">
        <v>529865</v>
      </c>
      <c r="BL9" s="84">
        <v>2673</v>
      </c>
      <c r="BM9" s="84">
        <v>811</v>
      </c>
      <c r="BN9" s="84">
        <v>673</v>
      </c>
      <c r="BO9" s="84">
        <v>2106</v>
      </c>
      <c r="BP9" s="84">
        <v>1664</v>
      </c>
      <c r="BQ9" s="84">
        <v>524</v>
      </c>
      <c r="BR9" s="84">
        <v>18868</v>
      </c>
      <c r="BS9" s="84">
        <v>560465</v>
      </c>
      <c r="BT9" s="84">
        <v>29320</v>
      </c>
      <c r="BU9" s="84">
        <v>1926</v>
      </c>
      <c r="BV9" s="84">
        <v>3924</v>
      </c>
      <c r="BW9" s="84">
        <v>9274</v>
      </c>
      <c r="BX9" s="84">
        <v>3145</v>
      </c>
      <c r="BY9" s="84">
        <v>4019</v>
      </c>
      <c r="BZ9" s="84">
        <v>3467</v>
      </c>
      <c r="CA9" s="84">
        <v>2970</v>
      </c>
      <c r="CB9" s="84">
        <v>22669</v>
      </c>
      <c r="CC9" s="84">
        <v>881</v>
      </c>
      <c r="CD9" s="84">
        <v>0</v>
      </c>
      <c r="CE9" s="84">
        <v>1835</v>
      </c>
      <c r="CF9" s="84">
        <v>333</v>
      </c>
      <c r="CG9" s="84">
        <v>354</v>
      </c>
      <c r="CH9" s="84">
        <v>874</v>
      </c>
      <c r="CI9" s="84">
        <v>81255</v>
      </c>
      <c r="CJ9" s="84">
        <v>510</v>
      </c>
      <c r="CK9" s="84">
        <v>55623</v>
      </c>
      <c r="CL9" s="84">
        <v>998</v>
      </c>
      <c r="CM9" s="84">
        <v>4122</v>
      </c>
      <c r="CN9" s="84">
        <v>1780</v>
      </c>
      <c r="CO9" s="84">
        <v>9653</v>
      </c>
      <c r="CP9" s="103">
        <v>4569</v>
      </c>
      <c r="CQ9" s="103">
        <v>7964</v>
      </c>
      <c r="CR9" s="103">
        <v>1175</v>
      </c>
      <c r="CS9" s="107">
        <v>1934</v>
      </c>
      <c r="CT9" s="84">
        <v>824</v>
      </c>
      <c r="CU9" s="84">
        <v>824</v>
      </c>
      <c r="CV9" s="84">
        <v>824</v>
      </c>
      <c r="CW9" s="84">
        <v>1132</v>
      </c>
      <c r="CX9" s="84">
        <v>718</v>
      </c>
      <c r="CY9" s="84">
        <v>0</v>
      </c>
      <c r="CZ9" s="84">
        <v>0</v>
      </c>
      <c r="DA9" s="84">
        <v>6957</v>
      </c>
      <c r="DB9" s="84">
        <v>7681</v>
      </c>
      <c r="DC9" s="84">
        <v>2919</v>
      </c>
      <c r="DD9" s="84">
        <v>7474</v>
      </c>
      <c r="DE9" s="84">
        <v>1088</v>
      </c>
      <c r="DF9" s="84">
        <v>994</v>
      </c>
      <c r="DG9" s="84">
        <v>2137</v>
      </c>
      <c r="DH9" s="84">
        <v>5404</v>
      </c>
      <c r="DI9" s="103">
        <v>3391</v>
      </c>
      <c r="DJ9" s="103">
        <v>3391</v>
      </c>
      <c r="DK9" s="103">
        <v>3391</v>
      </c>
      <c r="DL9" s="285">
        <v>2161</v>
      </c>
      <c r="DM9" s="84">
        <v>6362</v>
      </c>
      <c r="DN9" s="84">
        <v>25797</v>
      </c>
      <c r="DO9" s="84">
        <v>309</v>
      </c>
      <c r="DP9" s="84">
        <v>2846</v>
      </c>
      <c r="DQ9" s="84">
        <v>7557</v>
      </c>
      <c r="DR9" s="84">
        <v>7557</v>
      </c>
      <c r="DS9" s="84">
        <v>6362</v>
      </c>
      <c r="DT9" s="84">
        <v>25797</v>
      </c>
      <c r="DU9" s="84">
        <v>309</v>
      </c>
      <c r="DV9" s="84">
        <v>2846</v>
      </c>
      <c r="DW9" s="84">
        <v>7557</v>
      </c>
      <c r="DX9" s="84">
        <v>7557</v>
      </c>
      <c r="DY9" s="84">
        <v>0</v>
      </c>
      <c r="DZ9" s="84">
        <v>0</v>
      </c>
      <c r="EA9" s="84">
        <v>1765</v>
      </c>
      <c r="EB9" s="84">
        <v>1425</v>
      </c>
      <c r="EC9" s="107">
        <v>2009</v>
      </c>
      <c r="ED9" s="107">
        <v>2009</v>
      </c>
      <c r="EE9" s="107">
        <v>2477</v>
      </c>
      <c r="EF9" s="107">
        <v>2477</v>
      </c>
      <c r="EG9" s="413">
        <v>605</v>
      </c>
      <c r="EH9" s="413">
        <v>1756</v>
      </c>
      <c r="EI9" s="413">
        <v>77719</v>
      </c>
      <c r="EJ9" s="413">
        <v>4465</v>
      </c>
      <c r="EK9" s="413">
        <v>5225</v>
      </c>
      <c r="EL9" s="413">
        <v>17191</v>
      </c>
      <c r="EM9" s="413">
        <v>1957</v>
      </c>
      <c r="EN9" s="413">
        <v>4101</v>
      </c>
    </row>
    <row r="10" spans="1:144" ht="22.5" customHeight="1">
      <c r="A10" s="1133"/>
      <c r="B10" s="1128" t="s">
        <v>486</v>
      </c>
      <c r="C10" s="1128"/>
      <c r="D10" s="105">
        <v>3461</v>
      </c>
      <c r="E10" s="84">
        <v>300</v>
      </c>
      <c r="F10" s="105">
        <v>2446</v>
      </c>
      <c r="G10" s="84">
        <v>1223</v>
      </c>
      <c r="H10" s="105">
        <v>1223</v>
      </c>
      <c r="I10" s="84">
        <v>26327</v>
      </c>
      <c r="J10" s="105">
        <v>117138</v>
      </c>
      <c r="K10" s="84">
        <v>17662</v>
      </c>
      <c r="L10" s="105">
        <v>1579</v>
      </c>
      <c r="M10" s="84">
        <v>101898</v>
      </c>
      <c r="N10" s="107">
        <v>29809</v>
      </c>
      <c r="O10" s="84">
        <v>26327</v>
      </c>
      <c r="P10" s="84">
        <v>23379</v>
      </c>
      <c r="Q10" s="84">
        <v>93236</v>
      </c>
      <c r="R10" s="84">
        <v>34562</v>
      </c>
      <c r="S10" s="84">
        <v>59232</v>
      </c>
      <c r="T10" s="84">
        <v>88699</v>
      </c>
      <c r="U10" s="84">
        <v>45817</v>
      </c>
      <c r="V10" s="84">
        <v>94146</v>
      </c>
      <c r="W10" s="84">
        <v>1579</v>
      </c>
      <c r="X10" s="84">
        <v>17662</v>
      </c>
      <c r="Y10" s="84">
        <v>154416</v>
      </c>
      <c r="Z10" s="84">
        <v>86253</v>
      </c>
      <c r="AA10" s="84">
        <v>173586</v>
      </c>
      <c r="AB10" s="84">
        <v>15646</v>
      </c>
      <c r="AC10" s="84">
        <v>9171</v>
      </c>
      <c r="AD10" s="84">
        <v>293992</v>
      </c>
      <c r="AE10" s="84">
        <v>118277</v>
      </c>
      <c r="AF10" s="84">
        <v>101898</v>
      </c>
      <c r="AG10" s="84">
        <v>8879</v>
      </c>
      <c r="AH10" s="84">
        <v>9319</v>
      </c>
      <c r="AI10" s="84">
        <v>292173</v>
      </c>
      <c r="AJ10" s="84">
        <v>117064</v>
      </c>
      <c r="AK10" s="84">
        <v>84762</v>
      </c>
      <c r="AL10" s="84">
        <v>91918</v>
      </c>
      <c r="AM10" s="84">
        <v>144831</v>
      </c>
      <c r="AN10" s="84">
        <v>1050</v>
      </c>
      <c r="AO10" s="97">
        <v>1136</v>
      </c>
      <c r="AP10" s="84">
        <v>19968</v>
      </c>
      <c r="AQ10" s="84">
        <v>25988</v>
      </c>
      <c r="AR10" s="84">
        <v>15593</v>
      </c>
      <c r="AS10" s="84">
        <v>0</v>
      </c>
      <c r="AT10" s="84">
        <v>11550</v>
      </c>
      <c r="AU10" s="84">
        <v>19583</v>
      </c>
      <c r="AV10" s="84">
        <v>15782</v>
      </c>
      <c r="AW10" s="84">
        <v>16433</v>
      </c>
      <c r="AX10" s="84">
        <v>40031</v>
      </c>
      <c r="AY10" s="84">
        <v>28270</v>
      </c>
      <c r="AZ10" s="84">
        <v>315000</v>
      </c>
      <c r="BA10" s="84">
        <v>131024</v>
      </c>
      <c r="BB10" s="84">
        <v>107573</v>
      </c>
      <c r="BC10" s="84">
        <v>0</v>
      </c>
      <c r="BD10" s="84">
        <v>47408</v>
      </c>
      <c r="BE10" s="84">
        <v>111222</v>
      </c>
      <c r="BF10" s="84">
        <v>66378</v>
      </c>
      <c r="BG10" s="84">
        <v>67032</v>
      </c>
      <c r="BH10" s="84">
        <v>86324</v>
      </c>
      <c r="BI10" s="84">
        <v>80489</v>
      </c>
      <c r="BJ10" s="84">
        <v>222940</v>
      </c>
      <c r="BK10" s="84">
        <v>361106</v>
      </c>
      <c r="BL10" s="84">
        <v>4819</v>
      </c>
      <c r="BM10" s="84">
        <v>49124</v>
      </c>
      <c r="BN10" s="84">
        <v>59518</v>
      </c>
      <c r="BO10" s="84">
        <v>49806</v>
      </c>
      <c r="BP10" s="84">
        <v>191619</v>
      </c>
      <c r="BQ10" s="84">
        <v>13209</v>
      </c>
      <c r="BR10" s="84">
        <v>700</v>
      </c>
      <c r="BS10" s="84">
        <v>1727656</v>
      </c>
      <c r="BT10" s="84">
        <v>1249801</v>
      </c>
      <c r="BU10" s="84">
        <v>461489</v>
      </c>
      <c r="BV10" s="84">
        <v>1480</v>
      </c>
      <c r="BW10" s="84">
        <v>1711</v>
      </c>
      <c r="BX10" s="84">
        <v>661</v>
      </c>
      <c r="BY10" s="84">
        <v>0</v>
      </c>
      <c r="BZ10" s="84">
        <v>135408</v>
      </c>
      <c r="CA10" s="84">
        <v>117138</v>
      </c>
      <c r="CB10" s="84">
        <v>237843</v>
      </c>
      <c r="CC10" s="84">
        <v>772</v>
      </c>
      <c r="CD10" s="84">
        <v>11592</v>
      </c>
      <c r="CE10" s="84">
        <v>1638</v>
      </c>
      <c r="CF10" s="84">
        <v>15582</v>
      </c>
      <c r="CG10" s="84">
        <v>30223</v>
      </c>
      <c r="CH10" s="84">
        <v>7624</v>
      </c>
      <c r="CI10" s="84">
        <v>80128</v>
      </c>
      <c r="CJ10" s="84">
        <v>37682</v>
      </c>
      <c r="CK10" s="84">
        <v>196976</v>
      </c>
      <c r="CL10" s="84">
        <v>115066</v>
      </c>
      <c r="CM10" s="84">
        <v>40952</v>
      </c>
      <c r="CN10" s="84">
        <v>39481</v>
      </c>
      <c r="CO10" s="84">
        <v>97734</v>
      </c>
      <c r="CP10" s="103">
        <v>3461</v>
      </c>
      <c r="CQ10" s="103">
        <v>6799</v>
      </c>
      <c r="CR10" s="103">
        <v>122</v>
      </c>
      <c r="CS10" s="107">
        <v>0</v>
      </c>
      <c r="CT10" s="84">
        <v>2310</v>
      </c>
      <c r="CU10" s="84">
        <v>3465</v>
      </c>
      <c r="CV10" s="84">
        <v>2310</v>
      </c>
      <c r="CW10" s="84">
        <v>956</v>
      </c>
      <c r="CX10" s="84">
        <v>718</v>
      </c>
      <c r="CY10" s="84">
        <v>2061</v>
      </c>
      <c r="CZ10" s="84">
        <v>2061</v>
      </c>
      <c r="DA10" s="84">
        <v>447</v>
      </c>
      <c r="DB10" s="84">
        <v>447</v>
      </c>
      <c r="DC10" s="84">
        <v>111</v>
      </c>
      <c r="DD10" s="84">
        <v>1050</v>
      </c>
      <c r="DE10" s="84">
        <v>1050</v>
      </c>
      <c r="DF10" s="84">
        <v>1050</v>
      </c>
      <c r="DG10" s="84">
        <v>0</v>
      </c>
      <c r="DH10" s="84">
        <v>0</v>
      </c>
      <c r="DI10" s="103">
        <v>2446</v>
      </c>
      <c r="DJ10" s="103">
        <v>2446</v>
      </c>
      <c r="DK10" s="103">
        <v>2446</v>
      </c>
      <c r="DL10" s="285">
        <v>4200</v>
      </c>
      <c r="DM10" s="84">
        <v>613</v>
      </c>
      <c r="DN10" s="84">
        <v>34650</v>
      </c>
      <c r="DO10" s="84">
        <v>0</v>
      </c>
      <c r="DP10" s="84">
        <v>2252</v>
      </c>
      <c r="DQ10" s="84">
        <v>8572</v>
      </c>
      <c r="DR10" s="84">
        <v>9138</v>
      </c>
      <c r="DS10" s="84">
        <v>613</v>
      </c>
      <c r="DT10" s="84">
        <v>34650</v>
      </c>
      <c r="DU10" s="84">
        <v>0</v>
      </c>
      <c r="DV10" s="84">
        <v>2252</v>
      </c>
      <c r="DW10" s="84">
        <v>8572</v>
      </c>
      <c r="DX10" s="84">
        <v>9138</v>
      </c>
      <c r="DY10" s="84">
        <v>3465</v>
      </c>
      <c r="DZ10" s="84">
        <v>0</v>
      </c>
      <c r="EA10" s="84">
        <v>3465</v>
      </c>
      <c r="EB10" s="84">
        <v>0</v>
      </c>
      <c r="EC10" s="107">
        <v>13703</v>
      </c>
      <c r="ED10" s="107">
        <v>13703</v>
      </c>
      <c r="EE10" s="107">
        <v>18323</v>
      </c>
      <c r="EF10" s="107">
        <v>18323</v>
      </c>
      <c r="EG10" s="413">
        <v>4387</v>
      </c>
      <c r="EH10" s="413">
        <v>57055</v>
      </c>
      <c r="EI10" s="413">
        <v>121132</v>
      </c>
      <c r="EJ10" s="413">
        <v>7944</v>
      </c>
      <c r="EK10" s="413">
        <v>135756</v>
      </c>
      <c r="EL10" s="413">
        <v>220415</v>
      </c>
      <c r="EM10" s="413"/>
      <c r="EN10" s="413">
        <v>21757</v>
      </c>
    </row>
    <row r="11" spans="1:144" ht="22.5" customHeight="1">
      <c r="A11" s="1133"/>
      <c r="B11" s="1128" t="s">
        <v>487</v>
      </c>
      <c r="C11" s="1128"/>
      <c r="D11" s="96">
        <v>1500</v>
      </c>
      <c r="E11" s="96">
        <v>1500</v>
      </c>
      <c r="F11" s="105">
        <v>4030</v>
      </c>
      <c r="G11" s="96">
        <v>4030</v>
      </c>
      <c r="H11" s="105">
        <v>4030</v>
      </c>
      <c r="I11" s="96">
        <v>1500</v>
      </c>
      <c r="J11" s="105">
        <v>1500</v>
      </c>
      <c r="K11" s="96">
        <v>3000</v>
      </c>
      <c r="L11" s="105">
        <v>2160</v>
      </c>
      <c r="M11" s="96">
        <v>0</v>
      </c>
      <c r="N11" s="107">
        <v>10000</v>
      </c>
      <c r="O11" s="96"/>
      <c r="P11" s="96"/>
      <c r="Q11" s="84">
        <v>0</v>
      </c>
      <c r="R11" s="84">
        <v>0</v>
      </c>
      <c r="S11" s="84">
        <v>750</v>
      </c>
      <c r="T11" s="84">
        <v>0</v>
      </c>
      <c r="U11" s="84">
        <v>0</v>
      </c>
      <c r="V11" s="84">
        <v>1500</v>
      </c>
      <c r="W11" s="84">
        <v>2160</v>
      </c>
      <c r="X11" s="84">
        <v>3000</v>
      </c>
      <c r="Y11" s="84">
        <v>4900</v>
      </c>
      <c r="Z11" s="84">
        <v>1500</v>
      </c>
      <c r="AA11" s="84">
        <v>2450</v>
      </c>
      <c r="AB11" s="84">
        <v>2450</v>
      </c>
      <c r="AC11" s="84">
        <v>0</v>
      </c>
      <c r="AD11" s="84">
        <v>1500</v>
      </c>
      <c r="AE11" s="84">
        <v>0</v>
      </c>
      <c r="AF11" s="84">
        <v>0</v>
      </c>
      <c r="AG11" s="84">
        <v>0</v>
      </c>
      <c r="AH11" s="84">
        <v>3000</v>
      </c>
      <c r="AI11" s="84">
        <v>0</v>
      </c>
      <c r="AJ11" s="84">
        <v>0</v>
      </c>
      <c r="AK11" s="84">
        <v>0</v>
      </c>
      <c r="AL11" s="84">
        <v>0</v>
      </c>
      <c r="AM11" s="84">
        <v>1500</v>
      </c>
      <c r="AN11" s="84">
        <v>1500</v>
      </c>
      <c r="AO11" s="97">
        <v>1600</v>
      </c>
      <c r="AP11" s="84">
        <v>1500</v>
      </c>
      <c r="AQ11" s="84">
        <v>1500</v>
      </c>
      <c r="AR11" s="84">
        <v>0</v>
      </c>
      <c r="AS11" s="84">
        <v>0</v>
      </c>
      <c r="AT11" s="84">
        <v>3000</v>
      </c>
      <c r="AU11" s="84">
        <v>1440</v>
      </c>
      <c r="AV11" s="84">
        <v>4900</v>
      </c>
      <c r="AW11" s="84">
        <v>0</v>
      </c>
      <c r="AX11" s="84">
        <v>0</v>
      </c>
      <c r="AY11" s="84">
        <v>1682</v>
      </c>
      <c r="AZ11" s="84">
        <v>0</v>
      </c>
      <c r="BA11" s="84">
        <v>8888</v>
      </c>
      <c r="BB11" s="84">
        <v>0</v>
      </c>
      <c r="BC11" s="84">
        <v>0</v>
      </c>
      <c r="BD11" s="84">
        <v>23100</v>
      </c>
      <c r="BE11" s="84">
        <v>0</v>
      </c>
      <c r="BF11" s="84">
        <v>4500</v>
      </c>
      <c r="BG11" s="84">
        <v>4500</v>
      </c>
      <c r="BH11" s="84">
        <v>0</v>
      </c>
      <c r="BI11" s="84">
        <v>3000</v>
      </c>
      <c r="BJ11" s="84">
        <v>0</v>
      </c>
      <c r="BK11" s="84">
        <v>10740</v>
      </c>
      <c r="BL11" s="84">
        <v>15000</v>
      </c>
      <c r="BM11" s="84">
        <v>0</v>
      </c>
      <c r="BN11" s="84">
        <v>4900</v>
      </c>
      <c r="BO11" s="84">
        <v>3000</v>
      </c>
      <c r="BP11" s="84">
        <v>0</v>
      </c>
      <c r="BQ11" s="84">
        <v>0</v>
      </c>
      <c r="BR11" s="84">
        <v>7000</v>
      </c>
      <c r="BS11" s="84">
        <v>0</v>
      </c>
      <c r="BT11" s="84">
        <v>0</v>
      </c>
      <c r="BU11" s="84">
        <v>0</v>
      </c>
      <c r="BV11" s="84">
        <v>0</v>
      </c>
      <c r="BW11" s="84">
        <v>0</v>
      </c>
      <c r="BX11" s="84">
        <v>0</v>
      </c>
      <c r="BY11" s="84">
        <v>0</v>
      </c>
      <c r="BZ11" s="84">
        <v>0</v>
      </c>
      <c r="CA11" s="84">
        <v>0</v>
      </c>
      <c r="CB11" s="84">
        <v>1500</v>
      </c>
      <c r="CC11" s="84">
        <v>0</v>
      </c>
      <c r="CD11" s="84">
        <v>0</v>
      </c>
      <c r="CE11" s="84">
        <v>0</v>
      </c>
      <c r="CF11" s="84">
        <v>0</v>
      </c>
      <c r="CG11" s="84">
        <v>0</v>
      </c>
      <c r="CH11" s="84">
        <v>0</v>
      </c>
      <c r="CI11" s="84">
        <v>0</v>
      </c>
      <c r="CJ11" s="84">
        <v>0</v>
      </c>
      <c r="CK11" s="84">
        <v>0</v>
      </c>
      <c r="CL11" s="84">
        <v>0</v>
      </c>
      <c r="CM11" s="84">
        <v>0</v>
      </c>
      <c r="CN11" s="84">
        <v>0</v>
      </c>
      <c r="CO11" s="84">
        <v>1500</v>
      </c>
      <c r="CP11" s="103">
        <v>1500</v>
      </c>
      <c r="CQ11" s="103">
        <v>0</v>
      </c>
      <c r="CR11" s="103">
        <v>1500</v>
      </c>
      <c r="CS11" s="107">
        <v>1500</v>
      </c>
      <c r="CT11" s="84">
        <v>0</v>
      </c>
      <c r="CU11" s="84">
        <v>0</v>
      </c>
      <c r="CV11" s="84">
        <v>0</v>
      </c>
      <c r="CW11" s="84">
        <v>0</v>
      </c>
      <c r="CX11" s="84">
        <v>0</v>
      </c>
      <c r="CY11" s="84">
        <v>0</v>
      </c>
      <c r="CZ11" s="84">
        <v>0</v>
      </c>
      <c r="DA11" s="84">
        <v>0</v>
      </c>
      <c r="DB11" s="84">
        <v>0</v>
      </c>
      <c r="DC11" s="84">
        <v>0</v>
      </c>
      <c r="DD11" s="84">
        <v>3000</v>
      </c>
      <c r="DE11" s="84">
        <v>3000</v>
      </c>
      <c r="DF11" s="84">
        <v>1500</v>
      </c>
      <c r="DG11" s="84">
        <v>4900</v>
      </c>
      <c r="DH11" s="84">
        <v>4900</v>
      </c>
      <c r="DI11" s="103">
        <v>4030</v>
      </c>
      <c r="DJ11" s="103">
        <v>4030</v>
      </c>
      <c r="DK11" s="103">
        <v>4030</v>
      </c>
      <c r="DL11" s="285">
        <v>5000</v>
      </c>
      <c r="DM11" s="84">
        <v>0</v>
      </c>
      <c r="DN11" s="84">
        <v>0</v>
      </c>
      <c r="DO11" s="84">
        <v>1500</v>
      </c>
      <c r="DP11" s="84">
        <v>0</v>
      </c>
      <c r="DQ11" s="84">
        <v>4900</v>
      </c>
      <c r="DR11" s="84">
        <v>4900</v>
      </c>
      <c r="DS11" s="84">
        <v>0</v>
      </c>
      <c r="DT11" s="84">
        <v>0</v>
      </c>
      <c r="DU11" s="84">
        <v>1500</v>
      </c>
      <c r="DV11" s="84">
        <v>0</v>
      </c>
      <c r="DW11" s="84">
        <v>4900</v>
      </c>
      <c r="DX11" s="84">
        <v>4900</v>
      </c>
      <c r="DY11" s="84">
        <v>0</v>
      </c>
      <c r="DZ11" s="84">
        <v>0</v>
      </c>
      <c r="EA11" s="84">
        <v>0</v>
      </c>
      <c r="EB11" s="84">
        <v>0</v>
      </c>
      <c r="EC11" s="107">
        <v>0</v>
      </c>
      <c r="ED11" s="107">
        <v>0</v>
      </c>
      <c r="EE11" s="107">
        <v>0</v>
      </c>
      <c r="EF11" s="107">
        <v>0</v>
      </c>
      <c r="EG11" s="413">
        <v>3000</v>
      </c>
      <c r="EH11" s="413">
        <v>1250</v>
      </c>
      <c r="EI11" s="413">
        <v>3000</v>
      </c>
      <c r="EJ11" s="413">
        <v>1500</v>
      </c>
      <c r="EK11" s="413">
        <v>21000</v>
      </c>
      <c r="EL11" s="413"/>
      <c r="EM11" s="413">
        <v>3000</v>
      </c>
      <c r="EN11" s="413">
        <v>20925</v>
      </c>
    </row>
    <row r="12" spans="1:144" ht="22.5" customHeight="1">
      <c r="A12" s="1133"/>
      <c r="B12" s="1128" t="s">
        <v>488</v>
      </c>
      <c r="C12" s="1128"/>
      <c r="D12" s="105">
        <v>32550</v>
      </c>
      <c r="E12" s="84">
        <v>17022</v>
      </c>
      <c r="F12" s="105">
        <v>749</v>
      </c>
      <c r="G12" s="84">
        <v>374</v>
      </c>
      <c r="H12" s="105">
        <v>374</v>
      </c>
      <c r="I12" s="84">
        <v>4041</v>
      </c>
      <c r="J12" s="105">
        <v>105000</v>
      </c>
      <c r="K12" s="84">
        <v>0</v>
      </c>
      <c r="L12" s="105">
        <v>20000</v>
      </c>
      <c r="M12" s="84">
        <v>0</v>
      </c>
      <c r="N12" s="107">
        <v>12000</v>
      </c>
      <c r="O12" s="84">
        <v>4041</v>
      </c>
      <c r="P12" s="84"/>
      <c r="Q12" s="84">
        <v>0</v>
      </c>
      <c r="R12" s="84">
        <v>0</v>
      </c>
      <c r="S12" s="84">
        <v>0</v>
      </c>
      <c r="T12" s="84">
        <v>0</v>
      </c>
      <c r="U12" s="84">
        <v>0</v>
      </c>
      <c r="V12" s="84">
        <v>0</v>
      </c>
      <c r="W12" s="84">
        <v>20000</v>
      </c>
      <c r="X12" s="84">
        <v>0</v>
      </c>
      <c r="Y12" s="84">
        <v>0</v>
      </c>
      <c r="Z12" s="84">
        <v>5000</v>
      </c>
      <c r="AA12" s="84">
        <v>0</v>
      </c>
      <c r="AB12" s="84">
        <v>0</v>
      </c>
      <c r="AC12" s="84">
        <v>0</v>
      </c>
      <c r="AD12" s="84">
        <v>0</v>
      </c>
      <c r="AE12" s="84">
        <v>0</v>
      </c>
      <c r="AF12" s="84">
        <v>0</v>
      </c>
      <c r="AG12" s="84">
        <v>6000</v>
      </c>
      <c r="AH12" s="84">
        <v>0</v>
      </c>
      <c r="AI12" s="84">
        <v>0</v>
      </c>
      <c r="AJ12" s="84">
        <v>0</v>
      </c>
      <c r="AK12" s="84">
        <v>0</v>
      </c>
      <c r="AL12" s="84">
        <v>0</v>
      </c>
      <c r="AM12" s="84">
        <v>0</v>
      </c>
      <c r="AN12" s="84">
        <v>6500</v>
      </c>
      <c r="AO12" s="97"/>
      <c r="AP12" s="84">
        <v>0</v>
      </c>
      <c r="AQ12" s="84">
        <v>0</v>
      </c>
      <c r="AR12" s="84">
        <v>0</v>
      </c>
      <c r="AS12" s="84">
        <v>0</v>
      </c>
      <c r="AT12" s="84">
        <v>0</v>
      </c>
      <c r="AU12" s="84">
        <v>6000</v>
      </c>
      <c r="AV12" s="84">
        <v>6000</v>
      </c>
      <c r="AW12" s="84">
        <v>5000</v>
      </c>
      <c r="AX12" s="84">
        <v>3425</v>
      </c>
      <c r="AY12" s="84">
        <v>0</v>
      </c>
      <c r="AZ12" s="84">
        <v>0</v>
      </c>
      <c r="BA12" s="84">
        <v>0</v>
      </c>
      <c r="BB12" s="84">
        <v>0</v>
      </c>
      <c r="BC12" s="84">
        <v>0</v>
      </c>
      <c r="BD12" s="84">
        <v>0</v>
      </c>
      <c r="BE12" s="84">
        <v>0</v>
      </c>
      <c r="BF12" s="84">
        <v>0</v>
      </c>
      <c r="BG12" s="84">
        <v>0</v>
      </c>
      <c r="BH12" s="84">
        <v>21000</v>
      </c>
      <c r="BI12" s="84">
        <v>21000</v>
      </c>
      <c r="BJ12" s="84">
        <v>0</v>
      </c>
      <c r="BK12" s="84">
        <v>0</v>
      </c>
      <c r="BL12" s="84">
        <v>0</v>
      </c>
      <c r="BM12" s="84">
        <v>9000</v>
      </c>
      <c r="BN12" s="84">
        <v>0</v>
      </c>
      <c r="BO12" s="84">
        <v>0</v>
      </c>
      <c r="BP12" s="84">
        <v>10500</v>
      </c>
      <c r="BQ12" s="84">
        <v>0</v>
      </c>
      <c r="BR12" s="84">
        <v>0</v>
      </c>
      <c r="BS12" s="84">
        <v>0</v>
      </c>
      <c r="BT12" s="84">
        <v>0</v>
      </c>
      <c r="BU12" s="84">
        <v>0</v>
      </c>
      <c r="BV12" s="84">
        <v>0</v>
      </c>
      <c r="BW12" s="84">
        <v>0</v>
      </c>
      <c r="BX12" s="84">
        <v>0</v>
      </c>
      <c r="BY12" s="84">
        <v>0</v>
      </c>
      <c r="BZ12" s="84">
        <v>0</v>
      </c>
      <c r="CA12" s="84">
        <v>105000</v>
      </c>
      <c r="CB12" s="84">
        <v>0</v>
      </c>
      <c r="CC12" s="84">
        <v>0</v>
      </c>
      <c r="CD12" s="84">
        <v>12000</v>
      </c>
      <c r="CE12" s="84">
        <v>0</v>
      </c>
      <c r="CF12" s="84">
        <v>0</v>
      </c>
      <c r="CG12" s="84">
        <v>0</v>
      </c>
      <c r="CH12" s="84">
        <v>0</v>
      </c>
      <c r="CI12" s="84">
        <v>7071</v>
      </c>
      <c r="CJ12" s="84">
        <v>7000</v>
      </c>
      <c r="CK12" s="84">
        <v>0</v>
      </c>
      <c r="CL12" s="84">
        <v>0</v>
      </c>
      <c r="CM12" s="84">
        <v>0</v>
      </c>
      <c r="CN12" s="84">
        <v>0</v>
      </c>
      <c r="CO12" s="84">
        <v>0</v>
      </c>
      <c r="CP12" s="103">
        <v>12650</v>
      </c>
      <c r="CQ12" s="103">
        <v>38300</v>
      </c>
      <c r="CR12" s="103">
        <v>27000</v>
      </c>
      <c r="CS12" s="107">
        <v>21300</v>
      </c>
      <c r="CT12" s="84">
        <v>22500</v>
      </c>
      <c r="CU12" s="84">
        <v>22500</v>
      </c>
      <c r="CV12" s="84">
        <v>7500</v>
      </c>
      <c r="CW12" s="84">
        <v>72720</v>
      </c>
      <c r="CX12" s="84">
        <v>42800</v>
      </c>
      <c r="CY12" s="84">
        <v>77425</v>
      </c>
      <c r="CZ12" s="84">
        <v>31700</v>
      </c>
      <c r="DA12" s="84">
        <v>12633</v>
      </c>
      <c r="DB12" s="84">
        <v>20133</v>
      </c>
      <c r="DC12" s="84">
        <v>15550</v>
      </c>
      <c r="DD12" s="84">
        <v>46000</v>
      </c>
      <c r="DE12" s="84">
        <v>58000</v>
      </c>
      <c r="DF12" s="84">
        <v>38500</v>
      </c>
      <c r="DG12" s="84">
        <v>30200</v>
      </c>
      <c r="DH12" s="84">
        <v>33200</v>
      </c>
      <c r="DI12" s="103">
        <v>749</v>
      </c>
      <c r="DJ12" s="103">
        <v>749</v>
      </c>
      <c r="DK12" s="103">
        <v>749</v>
      </c>
      <c r="DL12" s="285"/>
      <c r="DM12" s="84">
        <v>0</v>
      </c>
      <c r="DN12" s="84">
        <v>6000</v>
      </c>
      <c r="DO12" s="84">
        <v>4000</v>
      </c>
      <c r="DP12" s="84">
        <v>500</v>
      </c>
      <c r="DQ12" s="84">
        <v>3530</v>
      </c>
      <c r="DR12" s="84">
        <v>0</v>
      </c>
      <c r="DS12" s="84">
        <v>0</v>
      </c>
      <c r="DT12" s="84">
        <v>6000</v>
      </c>
      <c r="DU12" s="84">
        <v>4000</v>
      </c>
      <c r="DV12" s="84">
        <v>500</v>
      </c>
      <c r="DW12" s="84">
        <v>3530</v>
      </c>
      <c r="DX12" s="84">
        <v>0</v>
      </c>
      <c r="DY12" s="84">
        <v>37800</v>
      </c>
      <c r="DZ12" s="84">
        <v>31500</v>
      </c>
      <c r="EA12" s="84">
        <v>0</v>
      </c>
      <c r="EB12" s="84">
        <v>0</v>
      </c>
      <c r="EC12" s="107">
        <v>9000</v>
      </c>
      <c r="ED12" s="107">
        <v>9000</v>
      </c>
      <c r="EE12" s="107">
        <v>9000</v>
      </c>
      <c r="EF12" s="107">
        <v>9000</v>
      </c>
      <c r="EG12" s="413"/>
      <c r="EH12" s="413"/>
      <c r="EI12" s="413"/>
      <c r="EJ12" s="413">
        <v>6000</v>
      </c>
      <c r="EK12" s="413"/>
      <c r="EL12" s="413"/>
      <c r="EM12" s="413"/>
      <c r="EN12" s="413"/>
    </row>
    <row r="13" spans="1:144" ht="22.5" customHeight="1">
      <c r="A13" s="1133"/>
      <c r="B13" s="1129" t="s">
        <v>489</v>
      </c>
      <c r="C13" s="83" t="s">
        <v>490</v>
      </c>
      <c r="D13" s="96">
        <v>2488</v>
      </c>
      <c r="E13" s="96">
        <v>0</v>
      </c>
      <c r="F13" s="105">
        <v>1944</v>
      </c>
      <c r="G13" s="96">
        <v>972</v>
      </c>
      <c r="H13" s="105">
        <v>972</v>
      </c>
      <c r="I13" s="96">
        <v>12152</v>
      </c>
      <c r="J13" s="105">
        <v>150000</v>
      </c>
      <c r="K13" s="96">
        <v>0</v>
      </c>
      <c r="L13" s="105">
        <v>0</v>
      </c>
      <c r="M13" s="96">
        <v>135000</v>
      </c>
      <c r="N13" s="107">
        <v>9777</v>
      </c>
      <c r="O13" s="96">
        <v>12152</v>
      </c>
      <c r="P13" s="96">
        <v>1221</v>
      </c>
      <c r="Q13" s="84">
        <v>281250</v>
      </c>
      <c r="R13" s="84">
        <v>190080</v>
      </c>
      <c r="S13" s="84">
        <v>84974</v>
      </c>
      <c r="T13" s="84">
        <v>112500</v>
      </c>
      <c r="U13" s="84">
        <v>0</v>
      </c>
      <c r="V13" s="84">
        <v>174022</v>
      </c>
      <c r="W13" s="84">
        <v>0</v>
      </c>
      <c r="X13" s="84">
        <v>0</v>
      </c>
      <c r="Y13" s="84">
        <v>151875</v>
      </c>
      <c r="Z13" s="84">
        <v>84375</v>
      </c>
      <c r="AA13" s="84">
        <v>84375</v>
      </c>
      <c r="AB13" s="84">
        <v>84375</v>
      </c>
      <c r="AC13" s="84">
        <v>0</v>
      </c>
      <c r="AD13" s="84">
        <v>179931</v>
      </c>
      <c r="AE13" s="84">
        <v>327600</v>
      </c>
      <c r="AF13" s="84">
        <v>135000</v>
      </c>
      <c r="AG13" s="84">
        <v>9771</v>
      </c>
      <c r="AH13" s="84">
        <v>3494</v>
      </c>
      <c r="AI13" s="84">
        <v>122580</v>
      </c>
      <c r="AJ13" s="84">
        <v>89241</v>
      </c>
      <c r="AK13" s="84">
        <v>0</v>
      </c>
      <c r="AL13" s="84">
        <v>168750</v>
      </c>
      <c r="AM13" s="84">
        <v>93863</v>
      </c>
      <c r="AN13" s="84">
        <v>0</v>
      </c>
      <c r="AO13" s="97"/>
      <c r="AP13" s="84">
        <v>0</v>
      </c>
      <c r="AQ13" s="84">
        <v>0</v>
      </c>
      <c r="AR13" s="84">
        <v>0</v>
      </c>
      <c r="AS13" s="84">
        <v>0</v>
      </c>
      <c r="AT13" s="84">
        <v>0</v>
      </c>
      <c r="AU13" s="84">
        <v>0</v>
      </c>
      <c r="AV13" s="84">
        <v>0</v>
      </c>
      <c r="AW13" s="84">
        <v>1500</v>
      </c>
      <c r="AX13" s="84">
        <v>4074</v>
      </c>
      <c r="AY13" s="84">
        <v>143750</v>
      </c>
      <c r="AZ13" s="84">
        <v>324072</v>
      </c>
      <c r="BA13" s="84">
        <v>164079</v>
      </c>
      <c r="BB13" s="84">
        <v>594780</v>
      </c>
      <c r="BC13" s="84">
        <v>43875</v>
      </c>
      <c r="BD13" s="84">
        <v>247500</v>
      </c>
      <c r="BE13" s="84">
        <v>238500</v>
      </c>
      <c r="BF13" s="84">
        <v>82886</v>
      </c>
      <c r="BG13" s="84">
        <v>88002</v>
      </c>
      <c r="BH13" s="84">
        <v>101516</v>
      </c>
      <c r="BI13" s="84">
        <v>101561</v>
      </c>
      <c r="BJ13" s="84">
        <v>765000</v>
      </c>
      <c r="BK13" s="84">
        <v>812743</v>
      </c>
      <c r="BL13" s="84">
        <v>168750</v>
      </c>
      <c r="BM13" s="84">
        <v>11745</v>
      </c>
      <c r="BN13" s="84">
        <v>153000</v>
      </c>
      <c r="BO13" s="84">
        <v>209250</v>
      </c>
      <c r="BP13" s="84">
        <v>3375</v>
      </c>
      <c r="BQ13" s="84">
        <v>102079</v>
      </c>
      <c r="BR13" s="84">
        <v>377500</v>
      </c>
      <c r="BS13" s="84">
        <v>209250</v>
      </c>
      <c r="BT13" s="84">
        <v>207000</v>
      </c>
      <c r="BU13" s="84">
        <v>271631</v>
      </c>
      <c r="BV13" s="84">
        <v>0</v>
      </c>
      <c r="BW13" s="84">
        <v>0</v>
      </c>
      <c r="BX13" s="84">
        <v>0</v>
      </c>
      <c r="BY13" s="84">
        <v>94500</v>
      </c>
      <c r="BZ13" s="84">
        <v>277260</v>
      </c>
      <c r="CA13" s="84">
        <v>150000</v>
      </c>
      <c r="CB13" s="84">
        <v>384488</v>
      </c>
      <c r="CC13" s="84">
        <v>0</v>
      </c>
      <c r="CD13" s="84">
        <v>4800</v>
      </c>
      <c r="CE13" s="84">
        <v>0</v>
      </c>
      <c r="CF13" s="84">
        <v>0</v>
      </c>
      <c r="CG13" s="84">
        <v>130500</v>
      </c>
      <c r="CH13" s="84">
        <v>168750</v>
      </c>
      <c r="CI13" s="84">
        <v>143804</v>
      </c>
      <c r="CJ13" s="84">
        <v>77986</v>
      </c>
      <c r="CK13" s="84">
        <v>219173</v>
      </c>
      <c r="CL13" s="84">
        <v>135000</v>
      </c>
      <c r="CM13" s="84">
        <v>55335</v>
      </c>
      <c r="CN13" s="84">
        <v>168750</v>
      </c>
      <c r="CO13" s="84">
        <v>207000</v>
      </c>
      <c r="CP13" s="103">
        <v>2488</v>
      </c>
      <c r="CQ13" s="103">
        <v>3267</v>
      </c>
      <c r="CR13" s="103">
        <v>1709</v>
      </c>
      <c r="CS13" s="107">
        <v>0</v>
      </c>
      <c r="CT13" s="84">
        <v>0</v>
      </c>
      <c r="CU13" s="84">
        <v>0</v>
      </c>
      <c r="CV13" s="84">
        <v>0</v>
      </c>
      <c r="CW13" s="84">
        <v>0</v>
      </c>
      <c r="CX13" s="84">
        <v>0</v>
      </c>
      <c r="CY13" s="84">
        <v>5172</v>
      </c>
      <c r="CZ13" s="84">
        <v>2230</v>
      </c>
      <c r="DA13" s="84">
        <v>0</v>
      </c>
      <c r="DB13" s="84">
        <v>0</v>
      </c>
      <c r="DC13" s="84">
        <v>0</v>
      </c>
      <c r="DD13" s="84">
        <v>0</v>
      </c>
      <c r="DE13" s="84">
        <v>0</v>
      </c>
      <c r="DF13" s="84">
        <v>0</v>
      </c>
      <c r="DG13" s="84">
        <v>0</v>
      </c>
      <c r="DH13" s="84">
        <v>0</v>
      </c>
      <c r="DI13" s="111">
        <v>972</v>
      </c>
      <c r="DJ13" s="111">
        <v>972</v>
      </c>
      <c r="DK13" s="111">
        <v>1944</v>
      </c>
      <c r="DL13" s="285">
        <v>4398</v>
      </c>
      <c r="DM13" s="84">
        <v>0</v>
      </c>
      <c r="DN13" s="84">
        <v>86538</v>
      </c>
      <c r="DO13" s="84">
        <v>0</v>
      </c>
      <c r="DP13" s="84">
        <v>1440</v>
      </c>
      <c r="DQ13" s="84">
        <v>27666</v>
      </c>
      <c r="DR13" s="84">
        <v>3530</v>
      </c>
      <c r="DS13" s="84">
        <v>0</v>
      </c>
      <c r="DT13" s="84">
        <v>86538</v>
      </c>
      <c r="DU13" s="84">
        <v>0</v>
      </c>
      <c r="DV13" s="84">
        <v>1440</v>
      </c>
      <c r="DW13" s="84">
        <v>27666</v>
      </c>
      <c r="DX13" s="84">
        <v>3530</v>
      </c>
      <c r="DY13" s="84">
        <v>0</v>
      </c>
      <c r="DZ13" s="84">
        <v>0</v>
      </c>
      <c r="EA13" s="84">
        <v>960</v>
      </c>
      <c r="EB13" s="84">
        <v>960</v>
      </c>
      <c r="EC13" s="107">
        <v>0</v>
      </c>
      <c r="ED13" s="107">
        <v>0</v>
      </c>
      <c r="EE13" s="107">
        <v>0</v>
      </c>
      <c r="EF13" s="107">
        <v>0</v>
      </c>
      <c r="EG13" s="413">
        <v>350000</v>
      </c>
      <c r="EH13" s="413"/>
      <c r="EI13" s="413">
        <v>150539</v>
      </c>
      <c r="EJ13" s="413"/>
      <c r="EK13" s="413">
        <v>453333</v>
      </c>
      <c r="EL13" s="413">
        <v>576555</v>
      </c>
      <c r="EM13" s="413">
        <v>123150</v>
      </c>
      <c r="EN13" s="413"/>
    </row>
    <row r="14" spans="1:144" ht="22.5" customHeight="1">
      <c r="A14" s="1133"/>
      <c r="B14" s="1129"/>
      <c r="C14" s="83" t="s">
        <v>491</v>
      </c>
      <c r="D14" s="105">
        <v>14769</v>
      </c>
      <c r="E14" s="84">
        <v>12975</v>
      </c>
      <c r="F14" s="105">
        <v>17487</v>
      </c>
      <c r="G14" s="84">
        <v>8743</v>
      </c>
      <c r="H14" s="105">
        <v>8743</v>
      </c>
      <c r="I14" s="84">
        <v>5949</v>
      </c>
      <c r="J14" s="105">
        <v>17565</v>
      </c>
      <c r="K14" s="84">
        <v>42706</v>
      </c>
      <c r="L14" s="105">
        <v>10584</v>
      </c>
      <c r="M14" s="84">
        <v>64200</v>
      </c>
      <c r="N14" s="107">
        <v>59184</v>
      </c>
      <c r="O14" s="84">
        <v>5949</v>
      </c>
      <c r="P14" s="84">
        <v>22123</v>
      </c>
      <c r="Q14" s="84">
        <v>104940</v>
      </c>
      <c r="R14" s="84">
        <v>66713</v>
      </c>
      <c r="S14" s="84">
        <v>28688</v>
      </c>
      <c r="T14" s="84">
        <v>29297</v>
      </c>
      <c r="U14" s="84">
        <v>143906</v>
      </c>
      <c r="V14" s="84">
        <v>22219</v>
      </c>
      <c r="W14" s="84">
        <v>10584</v>
      </c>
      <c r="X14" s="84">
        <v>42706</v>
      </c>
      <c r="Y14" s="84">
        <v>201938</v>
      </c>
      <c r="Z14" s="84">
        <v>13058</v>
      </c>
      <c r="AA14" s="84">
        <v>14318</v>
      </c>
      <c r="AB14" s="84">
        <v>14318</v>
      </c>
      <c r="AC14" s="84">
        <v>48685</v>
      </c>
      <c r="AD14" s="84">
        <v>36719</v>
      </c>
      <c r="AE14" s="84">
        <v>38160</v>
      </c>
      <c r="AF14" s="84">
        <v>64200</v>
      </c>
      <c r="AG14" s="84">
        <v>7538</v>
      </c>
      <c r="AH14" s="84">
        <v>37650</v>
      </c>
      <c r="AI14" s="84">
        <v>66713</v>
      </c>
      <c r="AJ14" s="84">
        <v>40253</v>
      </c>
      <c r="AK14" s="84">
        <v>76395</v>
      </c>
      <c r="AL14" s="84">
        <v>62606</v>
      </c>
      <c r="AM14" s="84">
        <v>12210</v>
      </c>
      <c r="AN14" s="84">
        <v>10613</v>
      </c>
      <c r="AO14" s="97">
        <v>13377</v>
      </c>
      <c r="AP14" s="84">
        <v>31190</v>
      </c>
      <c r="AQ14" s="84">
        <v>12240</v>
      </c>
      <c r="AR14" s="84">
        <v>26184</v>
      </c>
      <c r="AS14" s="84">
        <v>44606</v>
      </c>
      <c r="AT14" s="84">
        <v>13095</v>
      </c>
      <c r="AU14" s="84">
        <v>21383</v>
      </c>
      <c r="AV14" s="84">
        <v>21383</v>
      </c>
      <c r="AW14" s="84">
        <v>15563</v>
      </c>
      <c r="AX14" s="84">
        <v>20435</v>
      </c>
      <c r="AY14" s="84">
        <v>17578</v>
      </c>
      <c r="AZ14" s="84">
        <v>34650</v>
      </c>
      <c r="BA14" s="84">
        <v>39825</v>
      </c>
      <c r="BB14" s="84">
        <v>309731</v>
      </c>
      <c r="BC14" s="84">
        <v>0</v>
      </c>
      <c r="BD14" s="84">
        <v>59006</v>
      </c>
      <c r="BE14" s="84">
        <v>149625</v>
      </c>
      <c r="BF14" s="84">
        <v>81658</v>
      </c>
      <c r="BG14" s="84">
        <v>108878</v>
      </c>
      <c r="BH14" s="84">
        <v>97628</v>
      </c>
      <c r="BI14" s="84">
        <v>111128</v>
      </c>
      <c r="BJ14" s="84">
        <v>130500</v>
      </c>
      <c r="BK14" s="84">
        <v>183453</v>
      </c>
      <c r="BL14" s="84">
        <v>22500</v>
      </c>
      <c r="BM14" s="84">
        <v>25380</v>
      </c>
      <c r="BN14" s="84">
        <v>32625</v>
      </c>
      <c r="BO14" s="84">
        <v>18765</v>
      </c>
      <c r="BP14" s="84">
        <v>7020</v>
      </c>
      <c r="BQ14" s="84">
        <v>41550</v>
      </c>
      <c r="BR14" s="84">
        <v>24638</v>
      </c>
      <c r="BS14" s="84">
        <v>109350</v>
      </c>
      <c r="BT14" s="84">
        <v>43875</v>
      </c>
      <c r="BU14" s="84">
        <v>30471</v>
      </c>
      <c r="BV14" s="84">
        <v>14310</v>
      </c>
      <c r="BW14" s="84">
        <v>14310</v>
      </c>
      <c r="BX14" s="84">
        <v>15782</v>
      </c>
      <c r="BY14" s="84">
        <v>25551</v>
      </c>
      <c r="BZ14" s="84">
        <v>118313</v>
      </c>
      <c r="CA14" s="84">
        <v>17565</v>
      </c>
      <c r="CB14" s="84">
        <v>19744</v>
      </c>
      <c r="CC14" s="84">
        <v>22680</v>
      </c>
      <c r="CD14" s="84">
        <v>4725</v>
      </c>
      <c r="CE14" s="84">
        <v>20140</v>
      </c>
      <c r="CF14" s="84">
        <v>9450</v>
      </c>
      <c r="CG14" s="84">
        <v>4669</v>
      </c>
      <c r="CH14" s="84">
        <v>11655</v>
      </c>
      <c r="CI14" s="84">
        <v>37170</v>
      </c>
      <c r="CJ14" s="84">
        <v>45570</v>
      </c>
      <c r="CK14" s="84">
        <v>72319</v>
      </c>
      <c r="CL14" s="84">
        <v>23625</v>
      </c>
      <c r="CM14" s="84">
        <v>50713</v>
      </c>
      <c r="CN14" s="84">
        <v>25875</v>
      </c>
      <c r="CO14" s="84">
        <v>15525</v>
      </c>
      <c r="CP14" s="103">
        <v>14769</v>
      </c>
      <c r="CQ14" s="103">
        <v>17750</v>
      </c>
      <c r="CR14" s="103">
        <v>11789</v>
      </c>
      <c r="CS14" s="107">
        <v>8430</v>
      </c>
      <c r="CT14" s="84">
        <v>40097</v>
      </c>
      <c r="CU14" s="84">
        <v>80195</v>
      </c>
      <c r="CV14" s="84">
        <v>40097</v>
      </c>
      <c r="CW14" s="84">
        <v>14355</v>
      </c>
      <c r="CX14" s="84">
        <v>19896</v>
      </c>
      <c r="CY14" s="84">
        <v>7759</v>
      </c>
      <c r="CZ14" s="84">
        <v>4658</v>
      </c>
      <c r="DA14" s="84">
        <v>19772</v>
      </c>
      <c r="DB14" s="84">
        <v>43774</v>
      </c>
      <c r="DC14" s="84">
        <v>8851</v>
      </c>
      <c r="DD14" s="84">
        <v>23440</v>
      </c>
      <c r="DE14" s="84">
        <v>19539</v>
      </c>
      <c r="DF14" s="84">
        <v>10535</v>
      </c>
      <c r="DG14" s="84">
        <v>22582</v>
      </c>
      <c r="DH14" s="84">
        <v>92324</v>
      </c>
      <c r="DI14" s="103">
        <v>8743</v>
      </c>
      <c r="DJ14" s="103">
        <v>8743</v>
      </c>
      <c r="DK14" s="103">
        <v>17487</v>
      </c>
      <c r="DL14" s="285">
        <v>74785</v>
      </c>
      <c r="DM14" s="84">
        <v>27888</v>
      </c>
      <c r="DN14" s="84">
        <v>57939</v>
      </c>
      <c r="DO14" s="84">
        <v>8438</v>
      </c>
      <c r="DP14" s="84">
        <v>16295</v>
      </c>
      <c r="DQ14" s="84">
        <v>0</v>
      </c>
      <c r="DR14" s="84">
        <v>25866</v>
      </c>
      <c r="DS14" s="84">
        <v>27888</v>
      </c>
      <c r="DT14" s="84">
        <v>57939</v>
      </c>
      <c r="DU14" s="84">
        <v>8438</v>
      </c>
      <c r="DV14" s="84">
        <v>16295</v>
      </c>
      <c r="DW14" s="84">
        <v>0</v>
      </c>
      <c r="DX14" s="84">
        <v>25866</v>
      </c>
      <c r="DY14" s="84">
        <v>2520</v>
      </c>
      <c r="DZ14" s="84">
        <v>2520</v>
      </c>
      <c r="EA14" s="84">
        <v>16385</v>
      </c>
      <c r="EB14" s="84">
        <v>13955</v>
      </c>
      <c r="EC14" s="107">
        <v>10530</v>
      </c>
      <c r="ED14" s="107">
        <v>10530</v>
      </c>
      <c r="EE14" s="107">
        <v>10530</v>
      </c>
      <c r="EF14" s="107">
        <v>10530</v>
      </c>
      <c r="EG14" s="413">
        <v>86994</v>
      </c>
      <c r="EH14" s="413">
        <v>9281</v>
      </c>
      <c r="EI14" s="413">
        <v>138716</v>
      </c>
      <c r="EJ14" s="413">
        <v>4760</v>
      </c>
      <c r="EK14" s="413">
        <v>49194</v>
      </c>
      <c r="EL14" s="413">
        <v>117507</v>
      </c>
      <c r="EM14" s="413">
        <v>17115</v>
      </c>
      <c r="EN14" s="413">
        <v>26750</v>
      </c>
    </row>
    <row r="15" spans="1:144" ht="22.5" customHeight="1">
      <c r="A15" s="1133"/>
      <c r="B15" s="1129"/>
      <c r="C15" s="83" t="s">
        <v>492</v>
      </c>
      <c r="D15" s="96">
        <v>0</v>
      </c>
      <c r="E15" s="96"/>
      <c r="F15" s="105">
        <v>0</v>
      </c>
      <c r="G15" s="96">
        <v>0</v>
      </c>
      <c r="H15" s="105">
        <v>0</v>
      </c>
      <c r="I15" s="96">
        <v>0</v>
      </c>
      <c r="J15" s="105">
        <v>96138</v>
      </c>
      <c r="K15" s="96">
        <v>0</v>
      </c>
      <c r="L15" s="105">
        <v>0</v>
      </c>
      <c r="M15" s="96">
        <v>0</v>
      </c>
      <c r="N15" s="107">
        <v>0</v>
      </c>
      <c r="O15" s="96">
        <v>0</v>
      </c>
      <c r="P15" s="96"/>
      <c r="Q15" s="84">
        <v>0</v>
      </c>
      <c r="R15" s="84">
        <v>0</v>
      </c>
      <c r="S15" s="84">
        <v>0</v>
      </c>
      <c r="T15" s="84">
        <v>0</v>
      </c>
      <c r="U15" s="84">
        <v>0</v>
      </c>
      <c r="V15" s="84">
        <v>0</v>
      </c>
      <c r="W15" s="84">
        <v>0</v>
      </c>
      <c r="X15" s="84">
        <v>0</v>
      </c>
      <c r="Y15" s="84">
        <v>0</v>
      </c>
      <c r="Z15" s="84">
        <v>0</v>
      </c>
      <c r="AA15" s="84">
        <v>0</v>
      </c>
      <c r="AB15" s="84">
        <v>0</v>
      </c>
      <c r="AC15" s="84">
        <v>0</v>
      </c>
      <c r="AD15" s="84">
        <v>0</v>
      </c>
      <c r="AE15" s="84">
        <v>0</v>
      </c>
      <c r="AF15" s="84">
        <v>0</v>
      </c>
      <c r="AG15" s="84">
        <v>0</v>
      </c>
      <c r="AH15" s="84">
        <v>0</v>
      </c>
      <c r="AI15" s="84">
        <v>0</v>
      </c>
      <c r="AJ15" s="84">
        <v>0</v>
      </c>
      <c r="AK15" s="84">
        <v>0</v>
      </c>
      <c r="AL15" s="84">
        <v>0</v>
      </c>
      <c r="AM15" s="84">
        <v>0</v>
      </c>
      <c r="AN15" s="84">
        <v>0</v>
      </c>
      <c r="AO15" s="97"/>
      <c r="AP15" s="84">
        <v>0</v>
      </c>
      <c r="AQ15" s="84">
        <v>0</v>
      </c>
      <c r="AR15" s="84">
        <v>0</v>
      </c>
      <c r="AS15" s="84">
        <v>0</v>
      </c>
      <c r="AT15" s="84">
        <v>0</v>
      </c>
      <c r="AU15" s="84">
        <v>0</v>
      </c>
      <c r="AV15" s="84">
        <v>0</v>
      </c>
      <c r="AW15" s="84">
        <v>0</v>
      </c>
      <c r="AX15" s="84">
        <v>0</v>
      </c>
      <c r="AY15" s="84">
        <v>271099</v>
      </c>
      <c r="AZ15" s="84">
        <v>0</v>
      </c>
      <c r="BA15" s="84">
        <v>0</v>
      </c>
      <c r="BB15" s="84">
        <v>0</v>
      </c>
      <c r="BC15" s="84">
        <v>19950</v>
      </c>
      <c r="BD15" s="84">
        <v>0</v>
      </c>
      <c r="BE15" s="84">
        <v>0</v>
      </c>
      <c r="BF15" s="84">
        <v>0</v>
      </c>
      <c r="BG15" s="84">
        <v>0</v>
      </c>
      <c r="BH15" s="84">
        <v>0</v>
      </c>
      <c r="BI15" s="84">
        <v>0</v>
      </c>
      <c r="BJ15" s="84">
        <v>22455</v>
      </c>
      <c r="BK15" s="84">
        <v>0</v>
      </c>
      <c r="BL15" s="84">
        <v>49875</v>
      </c>
      <c r="BM15" s="84">
        <v>0</v>
      </c>
      <c r="BN15" s="84">
        <v>0</v>
      </c>
      <c r="BO15" s="84">
        <v>28500</v>
      </c>
      <c r="BP15" s="84">
        <v>0</v>
      </c>
      <c r="BQ15" s="84">
        <v>29880</v>
      </c>
      <c r="BR15" s="84">
        <v>0</v>
      </c>
      <c r="BS15" s="84">
        <v>0</v>
      </c>
      <c r="BT15" s="84">
        <v>0</v>
      </c>
      <c r="BU15" s="84">
        <v>0</v>
      </c>
      <c r="BV15" s="84">
        <v>15227</v>
      </c>
      <c r="BW15" s="84">
        <v>15227</v>
      </c>
      <c r="BX15" s="84">
        <v>20577</v>
      </c>
      <c r="BY15" s="84">
        <v>25721</v>
      </c>
      <c r="BZ15" s="84">
        <v>97563</v>
      </c>
      <c r="CA15" s="84">
        <v>96138</v>
      </c>
      <c r="CB15" s="84">
        <v>50710</v>
      </c>
      <c r="CC15" s="84">
        <v>11171</v>
      </c>
      <c r="CD15" s="84">
        <v>0</v>
      </c>
      <c r="CE15" s="84">
        <v>4460</v>
      </c>
      <c r="CF15" s="84">
        <v>87400</v>
      </c>
      <c r="CG15" s="84">
        <v>31026</v>
      </c>
      <c r="CH15" s="84">
        <v>70300</v>
      </c>
      <c r="CI15" s="84">
        <v>0</v>
      </c>
      <c r="CJ15" s="84">
        <v>0</v>
      </c>
      <c r="CK15" s="84">
        <v>0</v>
      </c>
      <c r="CL15" s="84">
        <v>16293</v>
      </c>
      <c r="CM15" s="84">
        <v>52299</v>
      </c>
      <c r="CN15" s="84">
        <v>40058</v>
      </c>
      <c r="CO15" s="84">
        <v>80117</v>
      </c>
      <c r="CP15" s="103"/>
      <c r="CQ15" s="103"/>
      <c r="CR15" s="103"/>
      <c r="CS15" s="107">
        <v>0</v>
      </c>
      <c r="CT15" s="84">
        <v>0</v>
      </c>
      <c r="CU15" s="84">
        <v>0</v>
      </c>
      <c r="CV15" s="84">
        <v>0</v>
      </c>
      <c r="CW15" s="84">
        <v>0</v>
      </c>
      <c r="CX15" s="84">
        <v>0</v>
      </c>
      <c r="CY15" s="84">
        <v>0</v>
      </c>
      <c r="CZ15" s="84">
        <v>0</v>
      </c>
      <c r="DA15" s="84">
        <v>0</v>
      </c>
      <c r="DB15" s="84">
        <v>0</v>
      </c>
      <c r="DC15" s="84">
        <v>0</v>
      </c>
      <c r="DD15" s="84">
        <v>0</v>
      </c>
      <c r="DE15" s="84">
        <v>0</v>
      </c>
      <c r="DF15" s="84">
        <v>0</v>
      </c>
      <c r="DG15" s="84">
        <v>0</v>
      </c>
      <c r="DH15" s="84">
        <v>0</v>
      </c>
      <c r="DI15" s="103">
        <v>0</v>
      </c>
      <c r="DJ15" s="103">
        <v>0</v>
      </c>
      <c r="DK15" s="103">
        <v>0</v>
      </c>
      <c r="DL15" s="285"/>
      <c r="DM15" s="84">
        <v>0</v>
      </c>
      <c r="DN15" s="84">
        <v>0</v>
      </c>
      <c r="DO15" s="84">
        <v>0</v>
      </c>
      <c r="DP15" s="84">
        <v>0</v>
      </c>
      <c r="DQ15" s="84">
        <v>1000</v>
      </c>
      <c r="DR15" s="84">
        <v>0</v>
      </c>
      <c r="DS15" s="84">
        <v>0</v>
      </c>
      <c r="DT15" s="84">
        <v>0</v>
      </c>
      <c r="DU15" s="84">
        <v>0</v>
      </c>
      <c r="DV15" s="84">
        <v>0</v>
      </c>
      <c r="DW15" s="84">
        <v>1000</v>
      </c>
      <c r="DX15" s="84">
        <v>0</v>
      </c>
      <c r="DY15" s="84">
        <v>0</v>
      </c>
      <c r="DZ15" s="84">
        <v>0</v>
      </c>
      <c r="EA15" s="84">
        <v>0</v>
      </c>
      <c r="EB15" s="84">
        <v>0</v>
      </c>
      <c r="EC15" s="107">
        <v>0</v>
      </c>
      <c r="ED15" s="107">
        <v>0</v>
      </c>
      <c r="EE15" s="107">
        <v>0</v>
      </c>
      <c r="EF15" s="107">
        <v>0</v>
      </c>
      <c r="EG15" s="413">
        <v>9552</v>
      </c>
      <c r="EH15" s="413">
        <v>8165</v>
      </c>
      <c r="EI15" s="413"/>
      <c r="EJ15" s="413"/>
      <c r="EK15" s="413"/>
      <c r="EL15" s="413"/>
      <c r="EM15" s="413">
        <v>41223</v>
      </c>
      <c r="EN15" s="413"/>
    </row>
    <row r="16" spans="1:144" ht="22.5" customHeight="1">
      <c r="A16" s="1133"/>
      <c r="B16" s="1128" t="s">
        <v>493</v>
      </c>
      <c r="C16" s="1128"/>
      <c r="D16" s="105">
        <v>6550</v>
      </c>
      <c r="E16" s="84">
        <v>7420</v>
      </c>
      <c r="F16" s="105">
        <v>5721</v>
      </c>
      <c r="G16" s="84">
        <v>2861</v>
      </c>
      <c r="H16" s="105">
        <v>2861</v>
      </c>
      <c r="I16" s="84">
        <v>4121</v>
      </c>
      <c r="J16" s="105">
        <v>10640</v>
      </c>
      <c r="K16" s="84">
        <v>4000</v>
      </c>
      <c r="L16" s="105">
        <v>2240</v>
      </c>
      <c r="M16" s="84">
        <v>4800</v>
      </c>
      <c r="N16" s="107">
        <v>3171</v>
      </c>
      <c r="O16" s="84">
        <v>4121</v>
      </c>
      <c r="P16" s="84">
        <v>7987</v>
      </c>
      <c r="Q16" s="84">
        <v>9240</v>
      </c>
      <c r="R16" s="84">
        <v>15000</v>
      </c>
      <c r="S16" s="84">
        <v>7500</v>
      </c>
      <c r="T16" s="84">
        <v>7500</v>
      </c>
      <c r="U16" s="84">
        <v>12500</v>
      </c>
      <c r="V16" s="84">
        <v>7500</v>
      </c>
      <c r="W16" s="84">
        <v>2240</v>
      </c>
      <c r="X16" s="84">
        <v>4000</v>
      </c>
      <c r="Y16" s="84">
        <v>8000</v>
      </c>
      <c r="Z16" s="84">
        <v>2680</v>
      </c>
      <c r="AA16" s="84">
        <v>2905</v>
      </c>
      <c r="AB16" s="84">
        <v>2905</v>
      </c>
      <c r="AC16" s="84">
        <v>4320</v>
      </c>
      <c r="AD16" s="84">
        <v>10720</v>
      </c>
      <c r="AE16" s="84">
        <v>8800</v>
      </c>
      <c r="AF16" s="84">
        <v>4800</v>
      </c>
      <c r="AG16" s="84">
        <v>2000</v>
      </c>
      <c r="AH16" s="84">
        <v>2800</v>
      </c>
      <c r="AI16" s="84">
        <v>30000</v>
      </c>
      <c r="AJ16" s="84">
        <v>24000</v>
      </c>
      <c r="AK16" s="84">
        <v>21000</v>
      </c>
      <c r="AL16" s="84">
        <v>10000</v>
      </c>
      <c r="AM16" s="84">
        <v>4400</v>
      </c>
      <c r="AN16" s="84">
        <v>2000</v>
      </c>
      <c r="AO16" s="97">
        <v>10180</v>
      </c>
      <c r="AP16" s="84">
        <v>5300</v>
      </c>
      <c r="AQ16" s="84">
        <v>3000</v>
      </c>
      <c r="AR16" s="84">
        <v>2100</v>
      </c>
      <c r="AS16" s="84">
        <v>2000</v>
      </c>
      <c r="AT16" s="84">
        <v>1500</v>
      </c>
      <c r="AU16" s="84">
        <v>4000</v>
      </c>
      <c r="AV16" s="84">
        <v>4240</v>
      </c>
      <c r="AW16" s="84">
        <v>1600</v>
      </c>
      <c r="AX16" s="84">
        <v>0</v>
      </c>
      <c r="AY16" s="84">
        <v>5000</v>
      </c>
      <c r="AZ16" s="84">
        <v>24000</v>
      </c>
      <c r="BA16" s="84">
        <v>4400</v>
      </c>
      <c r="BB16" s="84">
        <v>24000</v>
      </c>
      <c r="BC16" s="84">
        <v>12000</v>
      </c>
      <c r="BD16" s="84">
        <v>4500</v>
      </c>
      <c r="BE16" s="84">
        <v>6000</v>
      </c>
      <c r="BF16" s="84">
        <v>28290</v>
      </c>
      <c r="BG16" s="84">
        <v>37720</v>
      </c>
      <c r="BH16" s="84">
        <v>6667</v>
      </c>
      <c r="BI16" s="84">
        <v>11667</v>
      </c>
      <c r="BJ16" s="84">
        <v>20000</v>
      </c>
      <c r="BK16" s="84">
        <v>16000</v>
      </c>
      <c r="BL16" s="84">
        <v>9775</v>
      </c>
      <c r="BM16" s="84">
        <v>7500</v>
      </c>
      <c r="BN16" s="84">
        <v>10500</v>
      </c>
      <c r="BO16" s="84">
        <v>4000</v>
      </c>
      <c r="BP16" s="84">
        <v>1600</v>
      </c>
      <c r="BQ16" s="84">
        <v>4000</v>
      </c>
      <c r="BR16" s="84">
        <v>4200</v>
      </c>
      <c r="BS16" s="84">
        <v>67500</v>
      </c>
      <c r="BT16" s="84">
        <v>30000</v>
      </c>
      <c r="BU16" s="84">
        <v>5500</v>
      </c>
      <c r="BV16" s="84">
        <v>6400</v>
      </c>
      <c r="BW16" s="84">
        <v>3500</v>
      </c>
      <c r="BX16" s="84">
        <v>6680</v>
      </c>
      <c r="BY16" s="84">
        <v>5348</v>
      </c>
      <c r="BZ16" s="84">
        <v>30000</v>
      </c>
      <c r="CA16" s="84">
        <v>10640</v>
      </c>
      <c r="CB16" s="84">
        <v>4000</v>
      </c>
      <c r="CC16" s="84">
        <v>10000</v>
      </c>
      <c r="CD16" s="84">
        <v>4900</v>
      </c>
      <c r="CE16" s="84">
        <v>4000</v>
      </c>
      <c r="CF16" s="84">
        <v>2400</v>
      </c>
      <c r="CG16" s="84">
        <v>5000</v>
      </c>
      <c r="CH16" s="84">
        <v>2960</v>
      </c>
      <c r="CI16" s="84">
        <v>12800</v>
      </c>
      <c r="CJ16" s="84">
        <v>14400</v>
      </c>
      <c r="CK16" s="84">
        <v>12800</v>
      </c>
      <c r="CL16" s="84">
        <v>6000</v>
      </c>
      <c r="CM16" s="84">
        <v>13200</v>
      </c>
      <c r="CN16" s="84">
        <v>9000</v>
      </c>
      <c r="CO16" s="84">
        <v>3600</v>
      </c>
      <c r="CP16" s="103">
        <v>6550</v>
      </c>
      <c r="CQ16" s="103">
        <v>7091</v>
      </c>
      <c r="CR16" s="103">
        <v>6009</v>
      </c>
      <c r="CS16" s="107">
        <v>5180</v>
      </c>
      <c r="CT16" s="84">
        <v>1680</v>
      </c>
      <c r="CU16" s="84">
        <v>1720</v>
      </c>
      <c r="CV16" s="84">
        <v>1720</v>
      </c>
      <c r="CW16" s="84">
        <v>1400</v>
      </c>
      <c r="CX16" s="84">
        <v>2480</v>
      </c>
      <c r="CY16" s="84">
        <v>3090</v>
      </c>
      <c r="CZ16" s="84">
        <v>2250</v>
      </c>
      <c r="DA16" s="84">
        <v>6317</v>
      </c>
      <c r="DB16" s="84">
        <v>12887</v>
      </c>
      <c r="DC16" s="84">
        <v>2649</v>
      </c>
      <c r="DD16" s="84">
        <v>1000</v>
      </c>
      <c r="DE16" s="84">
        <v>2000</v>
      </c>
      <c r="DF16" s="84">
        <v>1000</v>
      </c>
      <c r="DG16" s="84">
        <v>805</v>
      </c>
      <c r="DH16" s="84">
        <v>1624</v>
      </c>
      <c r="DI16" s="103">
        <v>2861</v>
      </c>
      <c r="DJ16" s="103">
        <v>2861</v>
      </c>
      <c r="DK16" s="103">
        <v>5721</v>
      </c>
      <c r="DL16" s="285">
        <v>31951</v>
      </c>
      <c r="DM16" s="84">
        <v>980</v>
      </c>
      <c r="DN16" s="84">
        <v>10800</v>
      </c>
      <c r="DO16" s="84">
        <v>576</v>
      </c>
      <c r="DP16" s="84">
        <v>512</v>
      </c>
      <c r="DQ16" s="84">
        <v>0</v>
      </c>
      <c r="DR16" s="84">
        <v>1000</v>
      </c>
      <c r="DS16" s="84">
        <v>980</v>
      </c>
      <c r="DT16" s="84">
        <v>10800</v>
      </c>
      <c r="DU16" s="84">
        <v>576</v>
      </c>
      <c r="DV16" s="84">
        <v>512</v>
      </c>
      <c r="DW16" s="84">
        <v>0</v>
      </c>
      <c r="DX16" s="84">
        <v>1000</v>
      </c>
      <c r="DY16" s="84">
        <v>1120</v>
      </c>
      <c r="DZ16" s="84">
        <v>1120</v>
      </c>
      <c r="EA16" s="84">
        <v>1040</v>
      </c>
      <c r="EB16" s="84">
        <v>1040</v>
      </c>
      <c r="EC16" s="107">
        <v>960</v>
      </c>
      <c r="ED16" s="107">
        <v>960</v>
      </c>
      <c r="EE16" s="107">
        <v>960</v>
      </c>
      <c r="EF16" s="107">
        <v>960</v>
      </c>
      <c r="EG16" s="413">
        <v>116156</v>
      </c>
      <c r="EH16" s="413">
        <v>9485</v>
      </c>
      <c r="EI16" s="413">
        <v>102480</v>
      </c>
      <c r="EJ16" s="413">
        <v>3719</v>
      </c>
      <c r="EK16" s="413">
        <v>56799</v>
      </c>
      <c r="EL16" s="413">
        <v>175077</v>
      </c>
      <c r="EM16" s="413">
        <v>36038</v>
      </c>
      <c r="EN16" s="413">
        <v>11190</v>
      </c>
    </row>
    <row r="17" spans="1:144" ht="22.5" customHeight="1">
      <c r="A17" s="1133"/>
      <c r="B17" s="1128" t="s">
        <v>494</v>
      </c>
      <c r="C17" s="1128"/>
      <c r="D17" s="96">
        <v>0</v>
      </c>
      <c r="E17" s="96">
        <v>0</v>
      </c>
      <c r="F17" s="105">
        <v>0</v>
      </c>
      <c r="G17" s="96">
        <v>0</v>
      </c>
      <c r="H17" s="105">
        <v>0</v>
      </c>
      <c r="I17" s="96">
        <v>0</v>
      </c>
      <c r="J17" s="105">
        <v>0</v>
      </c>
      <c r="K17" s="96">
        <v>0</v>
      </c>
      <c r="L17" s="105">
        <v>0</v>
      </c>
      <c r="M17" s="96">
        <v>0</v>
      </c>
      <c r="N17" s="107">
        <v>0</v>
      </c>
      <c r="O17" s="96">
        <v>0</v>
      </c>
      <c r="P17" s="96"/>
      <c r="Q17" s="84">
        <v>0</v>
      </c>
      <c r="R17" s="84">
        <v>0</v>
      </c>
      <c r="S17" s="84">
        <v>0</v>
      </c>
      <c r="T17" s="84">
        <v>0</v>
      </c>
      <c r="U17" s="84">
        <v>0</v>
      </c>
      <c r="V17" s="84">
        <v>0</v>
      </c>
      <c r="W17" s="84">
        <v>0</v>
      </c>
      <c r="X17" s="84">
        <v>0</v>
      </c>
      <c r="Y17" s="84">
        <v>0</v>
      </c>
      <c r="Z17" s="84">
        <v>0</v>
      </c>
      <c r="AA17" s="84">
        <v>0</v>
      </c>
      <c r="AB17" s="84">
        <v>0</v>
      </c>
      <c r="AC17" s="84">
        <v>0</v>
      </c>
      <c r="AD17" s="84">
        <v>0</v>
      </c>
      <c r="AE17" s="84">
        <v>0</v>
      </c>
      <c r="AF17" s="84">
        <v>0</v>
      </c>
      <c r="AG17" s="84">
        <v>0</v>
      </c>
      <c r="AH17" s="84">
        <v>0</v>
      </c>
      <c r="AI17" s="84">
        <v>0</v>
      </c>
      <c r="AJ17" s="84">
        <v>0</v>
      </c>
      <c r="AK17" s="84">
        <v>0</v>
      </c>
      <c r="AL17" s="84">
        <v>0</v>
      </c>
      <c r="AM17" s="84">
        <v>0</v>
      </c>
      <c r="AN17" s="84">
        <v>0</v>
      </c>
      <c r="AO17" s="97"/>
      <c r="AP17" s="84">
        <v>0</v>
      </c>
      <c r="AQ17" s="84">
        <v>0</v>
      </c>
      <c r="AR17" s="84">
        <v>0</v>
      </c>
      <c r="AS17" s="84">
        <v>0</v>
      </c>
      <c r="AT17" s="84">
        <v>0</v>
      </c>
      <c r="AU17" s="84">
        <v>0</v>
      </c>
      <c r="AV17" s="84">
        <v>0</v>
      </c>
      <c r="AW17" s="84">
        <v>0</v>
      </c>
      <c r="AX17" s="84">
        <v>0</v>
      </c>
      <c r="AY17" s="84">
        <v>0</v>
      </c>
      <c r="AZ17" s="84">
        <v>0</v>
      </c>
      <c r="BA17" s="84">
        <v>0</v>
      </c>
      <c r="BB17" s="84">
        <v>0</v>
      </c>
      <c r="BC17" s="84">
        <v>0</v>
      </c>
      <c r="BD17" s="84">
        <v>0</v>
      </c>
      <c r="BE17" s="84">
        <v>0</v>
      </c>
      <c r="BF17" s="84">
        <v>0</v>
      </c>
      <c r="BG17" s="84">
        <v>0</v>
      </c>
      <c r="BH17" s="84">
        <v>0</v>
      </c>
      <c r="BI17" s="84">
        <v>0</v>
      </c>
      <c r="BJ17" s="84">
        <v>0</v>
      </c>
      <c r="BK17" s="84">
        <v>0</v>
      </c>
      <c r="BL17" s="84">
        <v>0</v>
      </c>
      <c r="BM17" s="84">
        <v>0</v>
      </c>
      <c r="BN17" s="84">
        <v>0</v>
      </c>
      <c r="BO17" s="84">
        <v>0</v>
      </c>
      <c r="BP17" s="84">
        <v>0</v>
      </c>
      <c r="BQ17" s="84">
        <v>0</v>
      </c>
      <c r="BR17" s="84">
        <v>0</v>
      </c>
      <c r="BS17" s="84">
        <v>0</v>
      </c>
      <c r="BT17" s="84">
        <v>0</v>
      </c>
      <c r="BU17" s="84">
        <v>0</v>
      </c>
      <c r="BV17" s="84">
        <v>0</v>
      </c>
      <c r="BW17" s="84">
        <v>0</v>
      </c>
      <c r="BX17" s="84">
        <v>0</v>
      </c>
      <c r="BY17" s="84">
        <v>0</v>
      </c>
      <c r="BZ17" s="84">
        <v>0</v>
      </c>
      <c r="CA17" s="84">
        <v>0</v>
      </c>
      <c r="CB17" s="84">
        <v>0</v>
      </c>
      <c r="CC17" s="84">
        <v>0</v>
      </c>
      <c r="CD17" s="84">
        <v>0</v>
      </c>
      <c r="CE17" s="84">
        <v>0</v>
      </c>
      <c r="CF17" s="84">
        <v>0</v>
      </c>
      <c r="CG17" s="84">
        <v>0</v>
      </c>
      <c r="CH17" s="84">
        <v>0</v>
      </c>
      <c r="CI17" s="84">
        <v>0</v>
      </c>
      <c r="CJ17" s="84">
        <v>0</v>
      </c>
      <c r="CK17" s="84">
        <v>0</v>
      </c>
      <c r="CL17" s="84">
        <v>0</v>
      </c>
      <c r="CM17" s="84">
        <v>0</v>
      </c>
      <c r="CN17" s="84">
        <v>0</v>
      </c>
      <c r="CO17" s="84">
        <v>0</v>
      </c>
      <c r="CP17" s="102"/>
      <c r="CQ17" s="102"/>
      <c r="CR17" s="102"/>
      <c r="CS17" s="103">
        <v>0</v>
      </c>
      <c r="CT17" s="84">
        <v>0</v>
      </c>
      <c r="CU17" s="84">
        <v>0</v>
      </c>
      <c r="CV17" s="84">
        <v>0</v>
      </c>
      <c r="CW17" s="84">
        <v>0</v>
      </c>
      <c r="CX17" s="84">
        <v>0</v>
      </c>
      <c r="CY17" s="84">
        <v>0</v>
      </c>
      <c r="CZ17" s="84">
        <v>0</v>
      </c>
      <c r="DA17" s="84">
        <v>0</v>
      </c>
      <c r="DB17" s="84">
        <v>0</v>
      </c>
      <c r="DC17" s="84">
        <v>0</v>
      </c>
      <c r="DD17" s="84">
        <v>0</v>
      </c>
      <c r="DE17" s="84">
        <v>0</v>
      </c>
      <c r="DF17" s="84">
        <v>0</v>
      </c>
      <c r="DG17" s="84">
        <v>0</v>
      </c>
      <c r="DH17" s="84">
        <v>0</v>
      </c>
      <c r="DI17" s="103">
        <v>0</v>
      </c>
      <c r="DJ17" s="103">
        <v>0</v>
      </c>
      <c r="DK17" s="103">
        <v>0</v>
      </c>
      <c r="DL17" s="285"/>
      <c r="DM17" s="84">
        <v>0</v>
      </c>
      <c r="DN17" s="84">
        <v>0</v>
      </c>
      <c r="DO17" s="84">
        <v>0</v>
      </c>
      <c r="DP17" s="84">
        <v>0</v>
      </c>
      <c r="DQ17" s="84">
        <v>0</v>
      </c>
      <c r="DR17" s="84">
        <v>0</v>
      </c>
      <c r="DS17" s="84">
        <v>0</v>
      </c>
      <c r="DT17" s="84">
        <v>0</v>
      </c>
      <c r="DU17" s="84">
        <v>0</v>
      </c>
      <c r="DV17" s="84">
        <v>0</v>
      </c>
      <c r="DW17" s="84">
        <v>0</v>
      </c>
      <c r="DX17" s="84">
        <v>0</v>
      </c>
      <c r="DY17" s="84">
        <v>0</v>
      </c>
      <c r="DZ17" s="84">
        <v>0</v>
      </c>
      <c r="EA17" s="84">
        <v>0</v>
      </c>
      <c r="EB17" s="84">
        <v>0</v>
      </c>
      <c r="EC17" s="107">
        <v>0</v>
      </c>
      <c r="ED17" s="107">
        <v>0</v>
      </c>
      <c r="EE17" s="107">
        <v>0</v>
      </c>
      <c r="EF17" s="107">
        <v>0</v>
      </c>
      <c r="EG17" s="413"/>
      <c r="EH17" s="413"/>
      <c r="EI17" s="413"/>
      <c r="EJ17" s="413"/>
      <c r="EK17" s="413"/>
      <c r="EL17" s="413"/>
      <c r="EM17" s="413"/>
      <c r="EN17" s="413"/>
    </row>
    <row r="18" spans="1:144" ht="22.5" customHeight="1">
      <c r="A18" s="1133"/>
      <c r="B18" s="1128" t="s">
        <v>495</v>
      </c>
      <c r="C18" s="1128"/>
      <c r="D18" s="105">
        <v>0</v>
      </c>
      <c r="E18" s="84">
        <v>0</v>
      </c>
      <c r="F18" s="105">
        <v>0</v>
      </c>
      <c r="G18" s="84">
        <v>0</v>
      </c>
      <c r="H18" s="105">
        <v>0</v>
      </c>
      <c r="I18" s="84">
        <v>13312</v>
      </c>
      <c r="J18" s="105">
        <v>0</v>
      </c>
      <c r="K18" s="84">
        <v>0</v>
      </c>
      <c r="L18" s="105">
        <v>0</v>
      </c>
      <c r="M18" s="84">
        <v>0</v>
      </c>
      <c r="N18" s="107">
        <v>0</v>
      </c>
      <c r="O18" s="84">
        <v>13312</v>
      </c>
      <c r="P18" s="84"/>
      <c r="Q18" s="84">
        <v>0</v>
      </c>
      <c r="R18" s="84">
        <v>0</v>
      </c>
      <c r="S18" s="84">
        <v>0</v>
      </c>
      <c r="T18" s="84">
        <v>0</v>
      </c>
      <c r="U18" s="84">
        <v>0</v>
      </c>
      <c r="V18" s="84">
        <v>0</v>
      </c>
      <c r="W18" s="84">
        <v>0</v>
      </c>
      <c r="X18" s="84">
        <v>0</v>
      </c>
      <c r="Y18" s="84">
        <v>0</v>
      </c>
      <c r="Z18" s="84">
        <v>0</v>
      </c>
      <c r="AA18" s="84">
        <v>0</v>
      </c>
      <c r="AB18" s="84">
        <v>0</v>
      </c>
      <c r="AC18" s="84">
        <v>0</v>
      </c>
      <c r="AD18" s="84">
        <v>0</v>
      </c>
      <c r="AE18" s="84">
        <v>0</v>
      </c>
      <c r="AF18" s="84">
        <v>0</v>
      </c>
      <c r="AG18" s="84">
        <v>0</v>
      </c>
      <c r="AH18" s="84">
        <v>0</v>
      </c>
      <c r="AI18" s="84">
        <v>154440</v>
      </c>
      <c r="AJ18" s="84">
        <v>0</v>
      </c>
      <c r="AK18" s="84">
        <v>0</v>
      </c>
      <c r="AL18" s="84">
        <v>0</v>
      </c>
      <c r="AM18" s="84">
        <v>0</v>
      </c>
      <c r="AN18" s="84">
        <v>0</v>
      </c>
      <c r="AO18" s="97">
        <v>8400</v>
      </c>
      <c r="AP18" s="84">
        <v>0</v>
      </c>
      <c r="AQ18" s="84">
        <v>0</v>
      </c>
      <c r="AR18" s="84">
        <v>0</v>
      </c>
      <c r="AS18" s="84">
        <v>0</v>
      </c>
      <c r="AT18" s="84">
        <v>0</v>
      </c>
      <c r="AU18" s="84">
        <v>0</v>
      </c>
      <c r="AV18" s="84">
        <v>0</v>
      </c>
      <c r="AW18" s="84">
        <v>0</v>
      </c>
      <c r="AX18" s="84">
        <v>10985</v>
      </c>
      <c r="AY18" s="84">
        <v>0</v>
      </c>
      <c r="AZ18" s="84">
        <v>0</v>
      </c>
      <c r="BA18" s="84">
        <v>0</v>
      </c>
      <c r="BB18" s="84">
        <v>6600</v>
      </c>
      <c r="BC18" s="84">
        <v>0</v>
      </c>
      <c r="BD18" s="84">
        <v>0</v>
      </c>
      <c r="BE18" s="84">
        <v>0</v>
      </c>
      <c r="BF18" s="84">
        <v>0</v>
      </c>
      <c r="BG18" s="84">
        <v>0</v>
      </c>
      <c r="BH18" s="84">
        <v>0</v>
      </c>
      <c r="BI18" s="84">
        <v>87150</v>
      </c>
      <c r="BJ18" s="84">
        <v>0</v>
      </c>
      <c r="BK18" s="84">
        <v>0</v>
      </c>
      <c r="BL18" s="84">
        <v>0</v>
      </c>
      <c r="BM18" s="84">
        <v>0</v>
      </c>
      <c r="BN18" s="84">
        <v>0</v>
      </c>
      <c r="BO18" s="84">
        <v>0</v>
      </c>
      <c r="BP18" s="84">
        <v>396000</v>
      </c>
      <c r="BQ18" s="84">
        <v>0</v>
      </c>
      <c r="BR18" s="84">
        <v>0</v>
      </c>
      <c r="BS18" s="84">
        <v>724800</v>
      </c>
      <c r="BT18" s="84">
        <v>677269</v>
      </c>
      <c r="BU18" s="84">
        <v>0</v>
      </c>
      <c r="BV18" s="84">
        <v>0</v>
      </c>
      <c r="BW18" s="84">
        <v>0</v>
      </c>
      <c r="BX18" s="84">
        <v>0</v>
      </c>
      <c r="BY18" s="84"/>
      <c r="BZ18" s="84">
        <v>0</v>
      </c>
      <c r="CA18" s="84">
        <v>0</v>
      </c>
      <c r="CB18" s="84">
        <v>0</v>
      </c>
      <c r="CC18" s="84">
        <v>0</v>
      </c>
      <c r="CD18" s="84">
        <v>0</v>
      </c>
      <c r="CE18" s="84">
        <v>0</v>
      </c>
      <c r="CF18" s="84">
        <v>0</v>
      </c>
      <c r="CG18" s="84">
        <v>0</v>
      </c>
      <c r="CH18" s="84">
        <v>0</v>
      </c>
      <c r="CI18" s="84">
        <v>0</v>
      </c>
      <c r="CJ18" s="84">
        <v>0</v>
      </c>
      <c r="CK18" s="84">
        <v>0</v>
      </c>
      <c r="CL18" s="84">
        <v>0</v>
      </c>
      <c r="CM18" s="84">
        <v>0</v>
      </c>
      <c r="CN18" s="84">
        <v>0</v>
      </c>
      <c r="CO18" s="84">
        <v>0</v>
      </c>
      <c r="CP18" s="103">
        <v>20000</v>
      </c>
      <c r="CQ18" s="102"/>
      <c r="CR18" s="102"/>
      <c r="CS18" s="103">
        <v>0</v>
      </c>
      <c r="CT18" s="84">
        <v>0</v>
      </c>
      <c r="CU18" s="84">
        <v>0</v>
      </c>
      <c r="CV18" s="84">
        <v>0</v>
      </c>
      <c r="CW18" s="84">
        <v>0</v>
      </c>
      <c r="CX18" s="84">
        <v>0</v>
      </c>
      <c r="CY18" s="84">
        <v>0</v>
      </c>
      <c r="CZ18" s="84">
        <v>0</v>
      </c>
      <c r="DA18" s="84">
        <v>0</v>
      </c>
      <c r="DB18" s="84">
        <v>0</v>
      </c>
      <c r="DC18" s="84">
        <v>0</v>
      </c>
      <c r="DD18" s="84">
        <v>0</v>
      </c>
      <c r="DE18" s="84">
        <v>0</v>
      </c>
      <c r="DF18" s="84">
        <v>0</v>
      </c>
      <c r="DG18" s="84">
        <v>0</v>
      </c>
      <c r="DH18" s="84">
        <v>0</v>
      </c>
      <c r="DI18" s="103">
        <v>0</v>
      </c>
      <c r="DJ18" s="103">
        <v>0</v>
      </c>
      <c r="DK18" s="103">
        <v>0</v>
      </c>
      <c r="DL18" s="285"/>
      <c r="DM18" s="84">
        <v>0</v>
      </c>
      <c r="DN18" s="84">
        <v>0</v>
      </c>
      <c r="DO18" s="84">
        <v>0</v>
      </c>
      <c r="DP18" s="84">
        <v>0</v>
      </c>
      <c r="DQ18" s="84">
        <v>0</v>
      </c>
      <c r="DR18" s="84">
        <v>0</v>
      </c>
      <c r="DS18" s="84">
        <v>0</v>
      </c>
      <c r="DT18" s="84">
        <v>0</v>
      </c>
      <c r="DU18" s="84">
        <v>0</v>
      </c>
      <c r="DV18" s="84">
        <v>0</v>
      </c>
      <c r="DW18" s="84">
        <v>0</v>
      </c>
      <c r="DX18" s="84">
        <v>0</v>
      </c>
      <c r="DY18" s="84">
        <v>0</v>
      </c>
      <c r="DZ18" s="84">
        <v>0</v>
      </c>
      <c r="EA18" s="84">
        <v>0</v>
      </c>
      <c r="EB18" s="84">
        <v>0</v>
      </c>
      <c r="EC18" s="107">
        <v>0</v>
      </c>
      <c r="ED18" s="107">
        <v>0</v>
      </c>
      <c r="EE18" s="107">
        <v>0</v>
      </c>
      <c r="EF18" s="107">
        <v>0</v>
      </c>
      <c r="EG18" s="413"/>
      <c r="EH18" s="413"/>
      <c r="EI18" s="413"/>
      <c r="EJ18" s="413"/>
      <c r="EK18" s="413"/>
      <c r="EL18" s="413"/>
      <c r="EM18" s="413"/>
      <c r="EN18" s="413">
        <v>25688</v>
      </c>
    </row>
    <row r="19" spans="1:144" ht="22.5" customHeight="1">
      <c r="A19" s="1133"/>
      <c r="B19" s="1134" t="s">
        <v>599</v>
      </c>
      <c r="C19" s="1128"/>
      <c r="D19" s="96">
        <v>0</v>
      </c>
      <c r="E19" s="96">
        <v>0</v>
      </c>
      <c r="F19" s="105">
        <v>9183</v>
      </c>
      <c r="G19" s="96">
        <v>9183</v>
      </c>
      <c r="H19" s="105">
        <v>6915</v>
      </c>
      <c r="I19" s="96">
        <v>0</v>
      </c>
      <c r="J19" s="105">
        <v>217701</v>
      </c>
      <c r="K19" s="96">
        <v>0</v>
      </c>
      <c r="L19" s="105">
        <v>190859</v>
      </c>
      <c r="M19" s="96">
        <v>1214125</v>
      </c>
      <c r="N19" s="103">
        <v>0</v>
      </c>
      <c r="O19" s="351"/>
      <c r="P19" s="351"/>
      <c r="Q19" s="84">
        <f>SUM(Q20:Q22)</f>
        <v>872344</v>
      </c>
      <c r="R19" s="84">
        <f aca="true" t="shared" si="1" ref="R19:AB19">SUM(R20:R22)</f>
        <v>854076</v>
      </c>
      <c r="S19" s="84">
        <f t="shared" si="1"/>
        <v>279164</v>
      </c>
      <c r="T19" s="84">
        <f t="shared" si="1"/>
        <v>390657</v>
      </c>
      <c r="U19" s="84">
        <f t="shared" si="1"/>
        <v>380885</v>
      </c>
      <c r="V19" s="84">
        <f t="shared" si="1"/>
        <v>539765</v>
      </c>
      <c r="W19" s="84">
        <f>SUM(W20:W22)</f>
        <v>190859</v>
      </c>
      <c r="X19" s="84">
        <f t="shared" si="1"/>
        <v>0</v>
      </c>
      <c r="Y19" s="84">
        <f t="shared" si="1"/>
        <v>1268672</v>
      </c>
      <c r="Z19" s="84">
        <f t="shared" si="1"/>
        <v>405600</v>
      </c>
      <c r="AA19" s="84">
        <f t="shared" si="1"/>
        <v>268719</v>
      </c>
      <c r="AB19" s="84">
        <f t="shared" si="1"/>
        <v>197306</v>
      </c>
      <c r="AC19" s="84">
        <f aca="true" t="shared" si="2" ref="AC19:AO19">SUM(AC20:AC22)</f>
        <v>320481</v>
      </c>
      <c r="AD19" s="84">
        <f>SUM(AD20:AD22)</f>
        <v>853927</v>
      </c>
      <c r="AE19" s="84">
        <f t="shared" si="2"/>
        <v>534186</v>
      </c>
      <c r="AF19" s="84">
        <f t="shared" si="2"/>
        <v>1214125</v>
      </c>
      <c r="AG19" s="84">
        <f t="shared" si="2"/>
        <v>136742</v>
      </c>
      <c r="AH19" s="84">
        <f t="shared" si="2"/>
        <v>325054</v>
      </c>
      <c r="AI19" s="84">
        <f t="shared" si="2"/>
        <v>687390</v>
      </c>
      <c r="AJ19" s="84">
        <f t="shared" si="2"/>
        <v>281354</v>
      </c>
      <c r="AK19" s="84">
        <f t="shared" si="2"/>
        <v>182578</v>
      </c>
      <c r="AL19" s="84">
        <f t="shared" si="2"/>
        <v>362244</v>
      </c>
      <c r="AM19" s="84">
        <f t="shared" si="2"/>
        <v>0</v>
      </c>
      <c r="AN19" s="84">
        <f t="shared" si="2"/>
        <v>74200</v>
      </c>
      <c r="AO19" s="84">
        <f t="shared" si="2"/>
        <v>0</v>
      </c>
      <c r="AP19" s="84">
        <f aca="true" t="shared" si="3" ref="AP19:AX19">SUM(AP20:AP22)</f>
        <v>300912</v>
      </c>
      <c r="AQ19" s="84">
        <f t="shared" si="3"/>
        <v>397302</v>
      </c>
      <c r="AR19" s="84">
        <f t="shared" si="3"/>
        <v>296213</v>
      </c>
      <c r="AS19" s="84">
        <f t="shared" si="3"/>
        <v>72150</v>
      </c>
      <c r="AT19" s="84">
        <f t="shared" si="3"/>
        <v>74445</v>
      </c>
      <c r="AU19" s="84">
        <f t="shared" si="3"/>
        <v>199240</v>
      </c>
      <c r="AV19" s="84">
        <f t="shared" si="3"/>
        <v>40300</v>
      </c>
      <c r="AW19" s="84">
        <f t="shared" si="3"/>
        <v>65900</v>
      </c>
      <c r="AX19" s="84">
        <f t="shared" si="3"/>
        <v>73620</v>
      </c>
      <c r="AY19" s="84">
        <f aca="true" t="shared" si="4" ref="AY19:BJ19">SUM(AY20:AY22)</f>
        <v>165182</v>
      </c>
      <c r="AZ19" s="84">
        <f t="shared" si="4"/>
        <v>654056</v>
      </c>
      <c r="BA19" s="84">
        <f t="shared" si="4"/>
        <v>849671</v>
      </c>
      <c r="BB19" s="84">
        <f t="shared" si="4"/>
        <v>1368840</v>
      </c>
      <c r="BC19" s="84">
        <f t="shared" si="4"/>
        <v>295844</v>
      </c>
      <c r="BD19" s="84">
        <f t="shared" si="4"/>
        <v>1795684</v>
      </c>
      <c r="BE19" s="84">
        <f t="shared" si="4"/>
        <v>1188507</v>
      </c>
      <c r="BF19" s="84">
        <f t="shared" si="4"/>
        <v>708086</v>
      </c>
      <c r="BG19" s="84">
        <f t="shared" si="4"/>
        <v>751810</v>
      </c>
      <c r="BH19" s="84">
        <f t="shared" si="4"/>
        <v>908944</v>
      </c>
      <c r="BI19" s="84">
        <f t="shared" si="4"/>
        <v>1280547</v>
      </c>
      <c r="BJ19" s="84">
        <f t="shared" si="4"/>
        <v>2272821</v>
      </c>
      <c r="BK19" s="84">
        <f aca="true" t="shared" si="5" ref="BK19:BU19">SUM(BK20:BK22)</f>
        <v>1766600</v>
      </c>
      <c r="BL19" s="84">
        <f t="shared" si="5"/>
        <v>488497</v>
      </c>
      <c r="BM19" s="84">
        <f t="shared" si="5"/>
        <v>713928</v>
      </c>
      <c r="BN19" s="84">
        <f t="shared" si="5"/>
        <v>677733</v>
      </c>
      <c r="BO19" s="84">
        <f t="shared" si="5"/>
        <v>406926</v>
      </c>
      <c r="BP19" s="84">
        <f t="shared" si="5"/>
        <v>1412493</v>
      </c>
      <c r="BQ19" s="84">
        <f t="shared" si="5"/>
        <v>810620</v>
      </c>
      <c r="BR19" s="84">
        <f t="shared" si="5"/>
        <v>910463</v>
      </c>
      <c r="BS19" s="84">
        <f t="shared" si="5"/>
        <v>3602040</v>
      </c>
      <c r="BT19" s="84">
        <f t="shared" si="5"/>
        <v>5501400</v>
      </c>
      <c r="BU19" s="84">
        <f t="shared" si="5"/>
        <v>108261</v>
      </c>
      <c r="BV19" s="84">
        <f aca="true" t="shared" si="6" ref="BV19:CG19">SUM(BV20:BV22)</f>
        <v>122952</v>
      </c>
      <c r="BW19" s="84">
        <f t="shared" si="6"/>
        <v>90300</v>
      </c>
      <c r="BX19" s="84">
        <f t="shared" si="6"/>
        <v>191414</v>
      </c>
      <c r="BY19" s="84">
        <f t="shared" si="6"/>
        <v>241248</v>
      </c>
      <c r="BZ19" s="84">
        <f t="shared" si="6"/>
        <v>281990</v>
      </c>
      <c r="CA19" s="84">
        <f t="shared" si="6"/>
        <v>210201</v>
      </c>
      <c r="CB19" s="84">
        <f t="shared" si="6"/>
        <v>645595</v>
      </c>
      <c r="CC19" s="84">
        <f t="shared" si="6"/>
        <v>123800</v>
      </c>
      <c r="CD19" s="84">
        <f t="shared" si="6"/>
        <v>58158</v>
      </c>
      <c r="CE19" s="84">
        <f t="shared" si="6"/>
        <v>8500</v>
      </c>
      <c r="CF19" s="84">
        <f t="shared" si="6"/>
        <v>38784</v>
      </c>
      <c r="CG19" s="84">
        <f t="shared" si="6"/>
        <v>386108</v>
      </c>
      <c r="CH19" s="84">
        <f aca="true" t="shared" si="7" ref="CH19:CO19">SUM(CH20:CH22)</f>
        <v>163056</v>
      </c>
      <c r="CI19" s="84">
        <f t="shared" si="7"/>
        <v>337195</v>
      </c>
      <c r="CJ19" s="84">
        <f t="shared" si="7"/>
        <v>230693</v>
      </c>
      <c r="CK19" s="84">
        <f t="shared" si="7"/>
        <v>396940</v>
      </c>
      <c r="CL19" s="84">
        <f t="shared" si="7"/>
        <v>115590</v>
      </c>
      <c r="CM19" s="84">
        <f t="shared" si="7"/>
        <v>711898</v>
      </c>
      <c r="CN19" s="84">
        <f t="shared" si="7"/>
        <v>123629</v>
      </c>
      <c r="CO19" s="84">
        <f t="shared" si="7"/>
        <v>768950</v>
      </c>
      <c r="CP19" s="106"/>
      <c r="CQ19" s="102"/>
      <c r="CR19" s="102"/>
      <c r="CS19" s="103">
        <v>0</v>
      </c>
      <c r="CT19" s="84">
        <f>SUM(CT20:CT22)</f>
        <v>0</v>
      </c>
      <c r="CU19" s="84">
        <f aca="true" t="shared" si="8" ref="CU19:DE19">SUM(CU20:CU22)</f>
        <v>0</v>
      </c>
      <c r="CV19" s="84">
        <f t="shared" si="8"/>
        <v>0</v>
      </c>
      <c r="CW19" s="84">
        <f t="shared" si="8"/>
        <v>0</v>
      </c>
      <c r="CX19" s="84">
        <f t="shared" si="8"/>
        <v>0</v>
      </c>
      <c r="CY19" s="84">
        <f t="shared" si="8"/>
        <v>0</v>
      </c>
      <c r="CZ19" s="84">
        <f t="shared" si="8"/>
        <v>0</v>
      </c>
      <c r="DA19" s="84">
        <f t="shared" si="8"/>
        <v>0</v>
      </c>
      <c r="DB19" s="84">
        <f t="shared" si="8"/>
        <v>0</v>
      </c>
      <c r="DC19" s="84">
        <f t="shared" si="8"/>
        <v>0</v>
      </c>
      <c r="DD19" s="84">
        <f t="shared" si="8"/>
        <v>0</v>
      </c>
      <c r="DE19" s="84">
        <f t="shared" si="8"/>
        <v>0</v>
      </c>
      <c r="DF19" s="84">
        <v>0</v>
      </c>
      <c r="DG19" s="84">
        <v>0</v>
      </c>
      <c r="DH19" s="84">
        <v>0</v>
      </c>
      <c r="DI19" s="113">
        <f>SUM(DI20:DI22)</f>
        <v>9560</v>
      </c>
      <c r="DJ19" s="113">
        <f>SUM(DJ20:DJ22)</f>
        <v>9560</v>
      </c>
      <c r="DK19" s="113">
        <f>SUM(DK20:DK22)</f>
        <v>9560</v>
      </c>
      <c r="DL19" s="107">
        <f>SUM(DL20:DL22)</f>
        <v>613200</v>
      </c>
      <c r="DM19" s="84">
        <f aca="true" t="shared" si="9" ref="DM19:EN19">SUM(DM20:DM22)</f>
        <v>9261</v>
      </c>
      <c r="DN19" s="84">
        <f t="shared" si="9"/>
        <v>11550</v>
      </c>
      <c r="DO19" s="84">
        <f t="shared" si="9"/>
        <v>1050</v>
      </c>
      <c r="DP19" s="84">
        <f t="shared" si="9"/>
        <v>4413</v>
      </c>
      <c r="DQ19" s="84">
        <f t="shared" si="9"/>
        <v>0</v>
      </c>
      <c r="DR19" s="84">
        <f t="shared" si="9"/>
        <v>0</v>
      </c>
      <c r="DS19" s="84">
        <f t="shared" si="9"/>
        <v>9261</v>
      </c>
      <c r="DT19" s="84">
        <f t="shared" si="9"/>
        <v>11550</v>
      </c>
      <c r="DU19" s="84">
        <f t="shared" si="9"/>
        <v>0</v>
      </c>
      <c r="DV19" s="84">
        <f t="shared" si="9"/>
        <v>1000</v>
      </c>
      <c r="DW19" s="84">
        <f t="shared" si="9"/>
        <v>0</v>
      </c>
      <c r="DX19" s="84">
        <f t="shared" si="9"/>
        <v>0</v>
      </c>
      <c r="DY19" s="84">
        <f t="shared" si="9"/>
        <v>0</v>
      </c>
      <c r="DZ19" s="84">
        <f t="shared" si="9"/>
        <v>0</v>
      </c>
      <c r="EA19" s="84">
        <f t="shared" si="9"/>
        <v>0</v>
      </c>
      <c r="EB19" s="84">
        <f t="shared" si="9"/>
        <v>0</v>
      </c>
      <c r="EC19" s="84">
        <f t="shared" si="9"/>
        <v>121604</v>
      </c>
      <c r="ED19" s="84">
        <f t="shared" si="9"/>
        <v>149063</v>
      </c>
      <c r="EE19" s="84">
        <f t="shared" si="9"/>
        <v>121604</v>
      </c>
      <c r="EF19" s="84">
        <f t="shared" si="9"/>
        <v>149063</v>
      </c>
      <c r="EG19" s="84">
        <f t="shared" si="9"/>
        <v>433080</v>
      </c>
      <c r="EH19" s="84">
        <f t="shared" si="9"/>
        <v>176460</v>
      </c>
      <c r="EI19" s="84">
        <f t="shared" si="9"/>
        <v>1096066</v>
      </c>
      <c r="EJ19" s="84">
        <f t="shared" si="9"/>
        <v>112922</v>
      </c>
      <c r="EK19" s="84">
        <f t="shared" si="9"/>
        <v>1616418</v>
      </c>
      <c r="EL19" s="84">
        <f t="shared" si="9"/>
        <v>1828842</v>
      </c>
      <c r="EM19" s="84">
        <f t="shared" si="9"/>
        <v>525361</v>
      </c>
      <c r="EN19" s="84">
        <f t="shared" si="9"/>
        <v>0</v>
      </c>
    </row>
    <row r="20" spans="1:144" ht="22.5" customHeight="1">
      <c r="A20" s="1133"/>
      <c r="B20" s="1133" t="s">
        <v>496</v>
      </c>
      <c r="C20" s="83" t="s">
        <v>497</v>
      </c>
      <c r="D20" s="105">
        <v>0</v>
      </c>
      <c r="E20" s="84">
        <v>0</v>
      </c>
      <c r="F20" s="105">
        <v>9183</v>
      </c>
      <c r="G20" s="84">
        <v>9183</v>
      </c>
      <c r="H20" s="105">
        <v>6915</v>
      </c>
      <c r="I20" s="84">
        <v>0</v>
      </c>
      <c r="J20" s="105">
        <v>141720</v>
      </c>
      <c r="K20" s="84">
        <v>0</v>
      </c>
      <c r="L20" s="105">
        <v>52619</v>
      </c>
      <c r="M20" s="84">
        <v>340450</v>
      </c>
      <c r="N20" s="107">
        <v>0</v>
      </c>
      <c r="O20" s="84"/>
      <c r="P20" s="84"/>
      <c r="Q20" s="84">
        <v>346838</v>
      </c>
      <c r="R20" s="84">
        <v>398351</v>
      </c>
      <c r="S20" s="84">
        <v>121523</v>
      </c>
      <c r="T20" s="84">
        <v>186847</v>
      </c>
      <c r="U20" s="84">
        <v>182030</v>
      </c>
      <c r="V20" s="84">
        <v>224485</v>
      </c>
      <c r="W20" s="84">
        <v>52619</v>
      </c>
      <c r="X20" s="84">
        <v>0</v>
      </c>
      <c r="Y20" s="84">
        <v>553858</v>
      </c>
      <c r="Z20" s="84">
        <v>176100</v>
      </c>
      <c r="AA20" s="84">
        <v>122946</v>
      </c>
      <c r="AB20" s="84">
        <v>104146</v>
      </c>
      <c r="AC20" s="84">
        <v>83421</v>
      </c>
      <c r="AD20" s="84">
        <v>320552</v>
      </c>
      <c r="AE20" s="84">
        <v>313371</v>
      </c>
      <c r="AF20" s="84">
        <v>340450</v>
      </c>
      <c r="AG20" s="84">
        <v>65446</v>
      </c>
      <c r="AH20" s="84">
        <v>33488</v>
      </c>
      <c r="AI20" s="84">
        <v>367150</v>
      </c>
      <c r="AJ20" s="84">
        <v>215354</v>
      </c>
      <c r="AK20" s="84">
        <v>120323</v>
      </c>
      <c r="AL20" s="84">
        <v>262301</v>
      </c>
      <c r="AM20" s="84">
        <v>0</v>
      </c>
      <c r="AN20" s="84">
        <v>33900</v>
      </c>
      <c r="AO20" s="84"/>
      <c r="AP20" s="84">
        <v>152712</v>
      </c>
      <c r="AQ20" s="84">
        <v>152712</v>
      </c>
      <c r="AR20" s="84">
        <v>134573</v>
      </c>
      <c r="AS20" s="84">
        <v>44000</v>
      </c>
      <c r="AT20" s="84">
        <v>55250</v>
      </c>
      <c r="AU20" s="84">
        <v>119340</v>
      </c>
      <c r="AV20" s="84">
        <v>7200</v>
      </c>
      <c r="AW20" s="84">
        <v>57500</v>
      </c>
      <c r="AX20" s="84">
        <v>40500</v>
      </c>
      <c r="AY20" s="84">
        <v>143504</v>
      </c>
      <c r="AZ20" s="84">
        <v>265220</v>
      </c>
      <c r="BA20" s="84">
        <v>364584</v>
      </c>
      <c r="BB20" s="84">
        <v>521677</v>
      </c>
      <c r="BC20" s="84">
        <v>94206</v>
      </c>
      <c r="BD20" s="84">
        <v>641750</v>
      </c>
      <c r="BE20" s="84">
        <v>418718</v>
      </c>
      <c r="BF20" s="84">
        <v>255870</v>
      </c>
      <c r="BG20" s="84">
        <v>349840</v>
      </c>
      <c r="BH20" s="84">
        <v>443394</v>
      </c>
      <c r="BI20" s="84">
        <v>404352</v>
      </c>
      <c r="BJ20" s="84">
        <v>1167359</v>
      </c>
      <c r="BK20" s="84">
        <v>783741</v>
      </c>
      <c r="BL20" s="84">
        <v>200146</v>
      </c>
      <c r="BM20" s="84">
        <v>239268</v>
      </c>
      <c r="BN20" s="84">
        <v>238999</v>
      </c>
      <c r="BO20" s="84">
        <v>173440</v>
      </c>
      <c r="BP20" s="84">
        <v>713113</v>
      </c>
      <c r="BQ20" s="84">
        <v>196130</v>
      </c>
      <c r="BR20" s="84">
        <v>302701</v>
      </c>
      <c r="BS20" s="84">
        <v>1201200</v>
      </c>
      <c r="BT20" s="84">
        <v>1561560</v>
      </c>
      <c r="BU20" s="84">
        <v>97741</v>
      </c>
      <c r="BV20" s="84">
        <v>81452</v>
      </c>
      <c r="BW20" s="84">
        <v>26670</v>
      </c>
      <c r="BX20" s="84">
        <v>125258</v>
      </c>
      <c r="BY20" s="84">
        <v>157541</v>
      </c>
      <c r="BZ20" s="84">
        <v>225035</v>
      </c>
      <c r="CA20" s="84">
        <v>141720</v>
      </c>
      <c r="CB20" s="84">
        <v>176650</v>
      </c>
      <c r="CC20" s="84">
        <v>117800</v>
      </c>
      <c r="CD20" s="84">
        <v>44550</v>
      </c>
      <c r="CE20" s="84">
        <v>2500</v>
      </c>
      <c r="CF20" s="84">
        <v>38784</v>
      </c>
      <c r="CG20" s="84">
        <v>144439</v>
      </c>
      <c r="CH20" s="84">
        <v>129390</v>
      </c>
      <c r="CI20" s="84">
        <v>198084</v>
      </c>
      <c r="CJ20" s="84">
        <v>119245</v>
      </c>
      <c r="CK20" s="84">
        <v>211900</v>
      </c>
      <c r="CL20" s="84">
        <v>82500</v>
      </c>
      <c r="CM20" s="84">
        <v>181918</v>
      </c>
      <c r="CN20" s="84">
        <v>93074</v>
      </c>
      <c r="CO20" s="84">
        <v>167090</v>
      </c>
      <c r="CP20" s="106"/>
      <c r="CQ20" s="102"/>
      <c r="CR20" s="102"/>
      <c r="CS20" s="103">
        <v>0</v>
      </c>
      <c r="CT20" s="84">
        <v>0</v>
      </c>
      <c r="CU20" s="84">
        <v>0</v>
      </c>
      <c r="CV20" s="84">
        <v>0</v>
      </c>
      <c r="CW20" s="84">
        <v>0</v>
      </c>
      <c r="CX20" s="84">
        <v>0</v>
      </c>
      <c r="CY20" s="84">
        <v>0</v>
      </c>
      <c r="CZ20" s="84">
        <v>0</v>
      </c>
      <c r="DA20" s="84">
        <v>0</v>
      </c>
      <c r="DB20" s="84">
        <v>0</v>
      </c>
      <c r="DC20" s="84">
        <v>0</v>
      </c>
      <c r="DD20" s="84">
        <v>0</v>
      </c>
      <c r="DE20" s="84">
        <v>0</v>
      </c>
      <c r="DF20" s="84">
        <v>0</v>
      </c>
      <c r="DG20" s="84">
        <v>0</v>
      </c>
      <c r="DH20" s="84">
        <v>0</v>
      </c>
      <c r="DI20" s="111">
        <v>9560</v>
      </c>
      <c r="DJ20" s="111">
        <v>9560</v>
      </c>
      <c r="DK20" s="111">
        <v>9560</v>
      </c>
      <c r="DL20" s="285">
        <v>39360</v>
      </c>
      <c r="DM20" s="84">
        <v>0</v>
      </c>
      <c r="DN20" s="84">
        <v>11550</v>
      </c>
      <c r="DO20" s="84">
        <v>0</v>
      </c>
      <c r="DP20" s="84">
        <v>0</v>
      </c>
      <c r="DQ20" s="84">
        <v>0</v>
      </c>
      <c r="DR20" s="84">
        <v>0</v>
      </c>
      <c r="DS20" s="84">
        <v>0</v>
      </c>
      <c r="DT20" s="84">
        <v>11550</v>
      </c>
      <c r="DU20" s="84">
        <v>0</v>
      </c>
      <c r="DV20" s="84">
        <v>0</v>
      </c>
      <c r="DW20" s="84">
        <v>0</v>
      </c>
      <c r="DX20" s="84">
        <v>0</v>
      </c>
      <c r="DY20" s="84">
        <v>0</v>
      </c>
      <c r="DZ20" s="84">
        <v>0</v>
      </c>
      <c r="EA20" s="84">
        <v>0</v>
      </c>
      <c r="EB20" s="84">
        <v>0</v>
      </c>
      <c r="EC20" s="107">
        <v>58604</v>
      </c>
      <c r="ED20" s="107">
        <v>81563</v>
      </c>
      <c r="EE20" s="107">
        <v>58604</v>
      </c>
      <c r="EF20" s="107">
        <v>81563</v>
      </c>
      <c r="EG20" s="413">
        <v>218880</v>
      </c>
      <c r="EH20" s="413">
        <v>96480</v>
      </c>
      <c r="EI20" s="413">
        <v>350685</v>
      </c>
      <c r="EJ20" s="413">
        <v>58256</v>
      </c>
      <c r="EK20" s="413">
        <v>655977</v>
      </c>
      <c r="EL20" s="413">
        <v>782406</v>
      </c>
      <c r="EM20" s="413">
        <v>204281</v>
      </c>
      <c r="EN20" s="413"/>
    </row>
    <row r="21" spans="1:144" ht="22.5" customHeight="1">
      <c r="A21" s="1133"/>
      <c r="B21" s="1133"/>
      <c r="C21" s="83" t="s">
        <v>498</v>
      </c>
      <c r="D21" s="96">
        <v>0</v>
      </c>
      <c r="E21" s="96">
        <v>0</v>
      </c>
      <c r="F21" s="105">
        <v>0</v>
      </c>
      <c r="G21" s="96">
        <v>0</v>
      </c>
      <c r="H21" s="105">
        <v>0</v>
      </c>
      <c r="I21" s="96">
        <v>0</v>
      </c>
      <c r="J21" s="105">
        <v>7500</v>
      </c>
      <c r="K21" s="96">
        <v>0</v>
      </c>
      <c r="L21" s="105">
        <v>108000</v>
      </c>
      <c r="M21" s="96">
        <v>775500</v>
      </c>
      <c r="N21" s="107">
        <v>0</v>
      </c>
      <c r="O21" s="96">
        <v>87148</v>
      </c>
      <c r="P21" s="96">
        <v>224000</v>
      </c>
      <c r="Q21" s="84">
        <v>406192</v>
      </c>
      <c r="R21" s="84">
        <v>417135</v>
      </c>
      <c r="S21" s="84">
        <v>140000</v>
      </c>
      <c r="T21" s="84">
        <v>164280</v>
      </c>
      <c r="U21" s="84">
        <v>162000</v>
      </c>
      <c r="V21" s="84">
        <v>280000</v>
      </c>
      <c r="W21" s="84">
        <v>108000</v>
      </c>
      <c r="X21" s="84">
        <v>0</v>
      </c>
      <c r="Y21" s="84">
        <v>366350</v>
      </c>
      <c r="Z21" s="84">
        <v>166500</v>
      </c>
      <c r="AA21" s="84">
        <v>91868</v>
      </c>
      <c r="AB21" s="84">
        <v>33110</v>
      </c>
      <c r="AC21" s="84">
        <v>198000</v>
      </c>
      <c r="AD21" s="84">
        <v>363800</v>
      </c>
      <c r="AE21" s="84">
        <v>0</v>
      </c>
      <c r="AF21" s="84">
        <v>775500</v>
      </c>
      <c r="AG21" s="84">
        <v>25600</v>
      </c>
      <c r="AH21" s="84">
        <v>267558</v>
      </c>
      <c r="AI21" s="84">
        <v>211464</v>
      </c>
      <c r="AJ21" s="84">
        <v>0</v>
      </c>
      <c r="AK21" s="84">
        <v>0</v>
      </c>
      <c r="AL21" s="84">
        <v>0</v>
      </c>
      <c r="AM21" s="84">
        <v>0</v>
      </c>
      <c r="AN21" s="84">
        <v>29800</v>
      </c>
      <c r="AO21" s="84"/>
      <c r="AP21" s="84">
        <v>123000</v>
      </c>
      <c r="AQ21" s="84">
        <v>211200</v>
      </c>
      <c r="AR21" s="84">
        <v>144000</v>
      </c>
      <c r="AS21" s="84">
        <v>25000</v>
      </c>
      <c r="AT21" s="84">
        <v>3770</v>
      </c>
      <c r="AU21" s="84">
        <v>40000</v>
      </c>
      <c r="AV21" s="84">
        <v>10000</v>
      </c>
      <c r="AW21" s="84">
        <v>0</v>
      </c>
      <c r="AX21" s="84">
        <v>14220</v>
      </c>
      <c r="AY21" s="84">
        <v>0</v>
      </c>
      <c r="AZ21" s="84">
        <v>0</v>
      </c>
      <c r="BA21" s="84">
        <v>386283</v>
      </c>
      <c r="BB21" s="84">
        <v>308286</v>
      </c>
      <c r="BC21" s="84">
        <v>157100</v>
      </c>
      <c r="BD21" s="84">
        <v>1000160</v>
      </c>
      <c r="BE21" s="84">
        <v>590285</v>
      </c>
      <c r="BF21" s="84">
        <v>391500</v>
      </c>
      <c r="BG21" s="84">
        <v>348000</v>
      </c>
      <c r="BH21" s="84">
        <v>412000</v>
      </c>
      <c r="BI21" s="84">
        <v>828000</v>
      </c>
      <c r="BJ21" s="84">
        <v>525371</v>
      </c>
      <c r="BK21" s="84">
        <v>556412</v>
      </c>
      <c r="BL21" s="84">
        <v>173250</v>
      </c>
      <c r="BM21" s="84">
        <v>413424</v>
      </c>
      <c r="BN21" s="84">
        <v>366120</v>
      </c>
      <c r="BO21" s="84">
        <v>213971</v>
      </c>
      <c r="BP21" s="84">
        <v>267410</v>
      </c>
      <c r="BQ21" s="84">
        <v>539400</v>
      </c>
      <c r="BR21" s="84">
        <v>527850</v>
      </c>
      <c r="BS21" s="84">
        <v>2185380</v>
      </c>
      <c r="BT21" s="84">
        <v>3724380</v>
      </c>
      <c r="BU21" s="84">
        <v>10520</v>
      </c>
      <c r="BV21" s="84">
        <v>10000</v>
      </c>
      <c r="BW21" s="84">
        <v>31500</v>
      </c>
      <c r="BX21" s="84">
        <v>27600</v>
      </c>
      <c r="BY21" s="84">
        <v>37440</v>
      </c>
      <c r="BZ21" s="84">
        <v>7500</v>
      </c>
      <c r="CA21" s="84">
        <v>0</v>
      </c>
      <c r="CB21" s="84">
        <v>98784</v>
      </c>
      <c r="CC21" s="84">
        <v>6000</v>
      </c>
      <c r="CD21" s="84">
        <v>0</v>
      </c>
      <c r="CE21" s="84">
        <v>6000</v>
      </c>
      <c r="CF21" s="84">
        <v>0</v>
      </c>
      <c r="CG21" s="84">
        <v>0</v>
      </c>
      <c r="CH21" s="84">
        <v>0</v>
      </c>
      <c r="CI21" s="84">
        <v>0</v>
      </c>
      <c r="CJ21" s="84">
        <v>0</v>
      </c>
      <c r="CK21" s="84">
        <v>101250</v>
      </c>
      <c r="CL21" s="84">
        <v>0</v>
      </c>
      <c r="CM21" s="84">
        <v>180540</v>
      </c>
      <c r="CN21" s="84">
        <v>0</v>
      </c>
      <c r="CO21" s="84">
        <v>310800</v>
      </c>
      <c r="CP21" s="102"/>
      <c r="CQ21" s="102"/>
      <c r="CR21" s="102"/>
      <c r="CS21" s="103">
        <v>0</v>
      </c>
      <c r="CT21" s="84">
        <v>0</v>
      </c>
      <c r="CU21" s="84">
        <v>0</v>
      </c>
      <c r="CV21" s="84">
        <v>0</v>
      </c>
      <c r="CW21" s="84">
        <v>0</v>
      </c>
      <c r="CX21" s="84">
        <v>0</v>
      </c>
      <c r="CY21" s="84">
        <v>0</v>
      </c>
      <c r="CZ21" s="84">
        <v>0</v>
      </c>
      <c r="DA21" s="84">
        <v>0</v>
      </c>
      <c r="DB21" s="84">
        <v>0</v>
      </c>
      <c r="DC21" s="84">
        <v>0</v>
      </c>
      <c r="DD21" s="84">
        <v>0</v>
      </c>
      <c r="DE21" s="84">
        <v>0</v>
      </c>
      <c r="DF21" s="84">
        <v>0</v>
      </c>
      <c r="DG21" s="84">
        <v>0</v>
      </c>
      <c r="DH21" s="84">
        <v>0</v>
      </c>
      <c r="DI21" s="111">
        <v>0</v>
      </c>
      <c r="DJ21" s="111">
        <v>0</v>
      </c>
      <c r="DK21" s="111">
        <v>0</v>
      </c>
      <c r="DL21" s="285">
        <v>480600</v>
      </c>
      <c r="DM21" s="84">
        <v>9261</v>
      </c>
      <c r="DN21" s="84">
        <v>0</v>
      </c>
      <c r="DO21" s="84">
        <v>0</v>
      </c>
      <c r="DP21" s="84">
        <v>1000</v>
      </c>
      <c r="DQ21" s="84">
        <v>0</v>
      </c>
      <c r="DR21" s="84">
        <v>0</v>
      </c>
      <c r="DS21" s="84"/>
      <c r="DT21" s="84"/>
      <c r="DU21" s="84"/>
      <c r="DV21" s="84"/>
      <c r="DW21" s="84"/>
      <c r="DX21" s="84"/>
      <c r="DY21" s="84">
        <v>0</v>
      </c>
      <c r="DZ21" s="84">
        <v>0</v>
      </c>
      <c r="EA21" s="84">
        <v>0</v>
      </c>
      <c r="EB21" s="84">
        <v>0</v>
      </c>
      <c r="EC21" s="107">
        <v>0</v>
      </c>
      <c r="ED21" s="107">
        <v>0</v>
      </c>
      <c r="EE21" s="107">
        <v>0</v>
      </c>
      <c r="EF21" s="107">
        <v>0</v>
      </c>
      <c r="EG21" s="413">
        <v>132000</v>
      </c>
      <c r="EH21" s="413">
        <v>49980</v>
      </c>
      <c r="EI21" s="413">
        <v>615600</v>
      </c>
      <c r="EJ21" s="413">
        <v>42794</v>
      </c>
      <c r="EK21" s="413">
        <v>712800</v>
      </c>
      <c r="EL21" s="413">
        <v>776736</v>
      </c>
      <c r="EM21" s="413">
        <v>203450</v>
      </c>
      <c r="EN21" s="413"/>
    </row>
    <row r="22" spans="1:144" ht="22.5" customHeight="1">
      <c r="A22" s="1133"/>
      <c r="B22" s="1133"/>
      <c r="C22" s="83" t="s">
        <v>499</v>
      </c>
      <c r="D22" s="105">
        <v>0</v>
      </c>
      <c r="E22" s="84">
        <v>0</v>
      </c>
      <c r="F22" s="105">
        <v>0</v>
      </c>
      <c r="G22" s="84">
        <v>0</v>
      </c>
      <c r="H22" s="105">
        <v>0</v>
      </c>
      <c r="I22" s="84">
        <v>0</v>
      </c>
      <c r="J22" s="105">
        <v>68481</v>
      </c>
      <c r="K22" s="84">
        <v>0</v>
      </c>
      <c r="L22" s="105">
        <v>30240</v>
      </c>
      <c r="M22" s="84">
        <v>98175</v>
      </c>
      <c r="N22" s="107">
        <v>0</v>
      </c>
      <c r="O22" s="84">
        <v>74366</v>
      </c>
      <c r="P22" s="84">
        <v>29823</v>
      </c>
      <c r="Q22" s="84">
        <v>119314</v>
      </c>
      <c r="R22" s="84">
        <v>38590</v>
      </c>
      <c r="S22" s="84">
        <v>17641</v>
      </c>
      <c r="T22" s="84">
        <v>39530</v>
      </c>
      <c r="U22" s="84">
        <v>36855</v>
      </c>
      <c r="V22" s="84">
        <v>35280</v>
      </c>
      <c r="W22" s="84">
        <v>30240</v>
      </c>
      <c r="X22" s="84">
        <v>0</v>
      </c>
      <c r="Y22" s="84">
        <v>348464</v>
      </c>
      <c r="Z22" s="84">
        <v>63000</v>
      </c>
      <c r="AA22" s="84">
        <v>53905</v>
      </c>
      <c r="AB22" s="84">
        <v>60050</v>
      </c>
      <c r="AC22" s="84">
        <v>39060</v>
      </c>
      <c r="AD22" s="84">
        <v>169575</v>
      </c>
      <c r="AE22" s="84">
        <v>220815</v>
      </c>
      <c r="AF22" s="84">
        <v>98175</v>
      </c>
      <c r="AG22" s="84">
        <v>45696</v>
      </c>
      <c r="AH22" s="84">
        <v>24008</v>
      </c>
      <c r="AI22" s="84">
        <v>108776</v>
      </c>
      <c r="AJ22" s="84">
        <v>66000</v>
      </c>
      <c r="AK22" s="84">
        <v>62255</v>
      </c>
      <c r="AL22" s="84">
        <v>99943</v>
      </c>
      <c r="AM22" s="84">
        <v>0</v>
      </c>
      <c r="AN22" s="84">
        <v>10500</v>
      </c>
      <c r="AO22" s="84"/>
      <c r="AP22" s="84">
        <v>25200</v>
      </c>
      <c r="AQ22" s="84">
        <v>33390</v>
      </c>
      <c r="AR22" s="84">
        <v>17640</v>
      </c>
      <c r="AS22" s="84">
        <v>3150</v>
      </c>
      <c r="AT22" s="84">
        <v>15425</v>
      </c>
      <c r="AU22" s="84">
        <v>39900</v>
      </c>
      <c r="AV22" s="84">
        <v>23100</v>
      </c>
      <c r="AW22" s="84">
        <v>8400</v>
      </c>
      <c r="AX22" s="84">
        <v>18900</v>
      </c>
      <c r="AY22" s="84">
        <v>21678</v>
      </c>
      <c r="AZ22" s="84">
        <v>388836</v>
      </c>
      <c r="BA22" s="84">
        <v>98804</v>
      </c>
      <c r="BB22" s="84">
        <v>538877</v>
      </c>
      <c r="BC22" s="84">
        <v>44538</v>
      </c>
      <c r="BD22" s="84">
        <v>153774</v>
      </c>
      <c r="BE22" s="84">
        <v>179504</v>
      </c>
      <c r="BF22" s="84">
        <v>60716</v>
      </c>
      <c r="BG22" s="84">
        <v>53970</v>
      </c>
      <c r="BH22" s="84">
        <v>53550</v>
      </c>
      <c r="BI22" s="84">
        <v>48195</v>
      </c>
      <c r="BJ22" s="84">
        <v>580091</v>
      </c>
      <c r="BK22" s="84">
        <v>426447</v>
      </c>
      <c r="BL22" s="84">
        <v>115101</v>
      </c>
      <c r="BM22" s="84">
        <v>61236</v>
      </c>
      <c r="BN22" s="84">
        <v>72614</v>
      </c>
      <c r="BO22" s="84">
        <v>19515</v>
      </c>
      <c r="BP22" s="84">
        <v>431970</v>
      </c>
      <c r="BQ22" s="84">
        <v>75090</v>
      </c>
      <c r="BR22" s="84">
        <v>79912</v>
      </c>
      <c r="BS22" s="84">
        <v>215460</v>
      </c>
      <c r="BT22" s="84">
        <v>215460</v>
      </c>
      <c r="BU22" s="84">
        <v>0</v>
      </c>
      <c r="BV22" s="84">
        <v>31500</v>
      </c>
      <c r="BW22" s="84">
        <v>32130</v>
      </c>
      <c r="BX22" s="84">
        <v>38556</v>
      </c>
      <c r="BY22" s="84">
        <v>46267</v>
      </c>
      <c r="BZ22" s="84">
        <v>49455</v>
      </c>
      <c r="CA22" s="84">
        <v>68481</v>
      </c>
      <c r="CB22" s="84">
        <v>370161</v>
      </c>
      <c r="CC22" s="84">
        <v>0</v>
      </c>
      <c r="CD22" s="84">
        <v>13608</v>
      </c>
      <c r="CE22" s="84">
        <v>0</v>
      </c>
      <c r="CF22" s="84">
        <v>0</v>
      </c>
      <c r="CG22" s="84">
        <v>241669</v>
      </c>
      <c r="CH22" s="84">
        <v>33666</v>
      </c>
      <c r="CI22" s="84">
        <v>139111</v>
      </c>
      <c r="CJ22" s="84">
        <v>111448</v>
      </c>
      <c r="CK22" s="84">
        <v>83790</v>
      </c>
      <c r="CL22" s="84">
        <v>33090</v>
      </c>
      <c r="CM22" s="84">
        <v>349440</v>
      </c>
      <c r="CN22" s="84">
        <v>30555</v>
      </c>
      <c r="CO22" s="84">
        <v>291060</v>
      </c>
      <c r="CP22" s="102"/>
      <c r="CQ22" s="102"/>
      <c r="CR22" s="102"/>
      <c r="CS22" s="103">
        <v>0</v>
      </c>
      <c r="CT22" s="84">
        <v>0</v>
      </c>
      <c r="CU22" s="84">
        <v>0</v>
      </c>
      <c r="CV22" s="84">
        <v>0</v>
      </c>
      <c r="CW22" s="84">
        <v>0</v>
      </c>
      <c r="CX22" s="84">
        <v>0</v>
      </c>
      <c r="CY22" s="84">
        <v>0</v>
      </c>
      <c r="CZ22" s="84">
        <v>0</v>
      </c>
      <c r="DA22" s="84">
        <v>0</v>
      </c>
      <c r="DB22" s="84">
        <v>0</v>
      </c>
      <c r="DC22" s="84">
        <v>0</v>
      </c>
      <c r="DD22" s="84">
        <v>0</v>
      </c>
      <c r="DE22" s="84">
        <v>0</v>
      </c>
      <c r="DF22" s="84">
        <v>0</v>
      </c>
      <c r="DG22" s="84">
        <v>0</v>
      </c>
      <c r="DH22" s="84">
        <v>0</v>
      </c>
      <c r="DI22" s="111">
        <v>0</v>
      </c>
      <c r="DJ22" s="111">
        <v>0</v>
      </c>
      <c r="DK22" s="111">
        <v>0</v>
      </c>
      <c r="DL22" s="285">
        <v>93240</v>
      </c>
      <c r="DM22" s="84">
        <v>0</v>
      </c>
      <c r="DN22" s="84">
        <v>0</v>
      </c>
      <c r="DO22" s="84">
        <v>1050</v>
      </c>
      <c r="DP22" s="84">
        <v>3413</v>
      </c>
      <c r="DQ22" s="84">
        <v>0</v>
      </c>
      <c r="DR22" s="84">
        <v>0</v>
      </c>
      <c r="DS22" s="84">
        <v>9261</v>
      </c>
      <c r="DT22" s="84">
        <v>0</v>
      </c>
      <c r="DU22" s="84">
        <v>0</v>
      </c>
      <c r="DV22" s="84">
        <v>1000</v>
      </c>
      <c r="DW22" s="84">
        <v>0</v>
      </c>
      <c r="DX22" s="84">
        <v>0</v>
      </c>
      <c r="DY22" s="84">
        <v>0</v>
      </c>
      <c r="DZ22" s="84">
        <v>0</v>
      </c>
      <c r="EA22" s="84">
        <v>0</v>
      </c>
      <c r="EB22" s="84">
        <v>0</v>
      </c>
      <c r="EC22" s="107">
        <v>63000</v>
      </c>
      <c r="ED22" s="107">
        <v>67500</v>
      </c>
      <c r="EE22" s="107">
        <v>63000</v>
      </c>
      <c r="EF22" s="107">
        <v>67500</v>
      </c>
      <c r="EG22" s="413">
        <v>82200</v>
      </c>
      <c r="EH22" s="413">
        <v>30000</v>
      </c>
      <c r="EI22" s="413">
        <v>129781</v>
      </c>
      <c r="EJ22" s="413">
        <v>11872</v>
      </c>
      <c r="EK22" s="413">
        <v>247641</v>
      </c>
      <c r="EL22" s="413">
        <v>269700</v>
      </c>
      <c r="EM22" s="413">
        <v>117630</v>
      </c>
      <c r="EN22" s="413"/>
    </row>
    <row r="23" spans="1:144" ht="22.5" customHeight="1">
      <c r="A23" s="1133"/>
      <c r="B23" s="1128" t="s">
        <v>500</v>
      </c>
      <c r="C23" s="1128"/>
      <c r="D23" s="103">
        <f aca="true" t="shared" si="10" ref="D23:M23">SUM(D6:D19)</f>
        <v>99828</v>
      </c>
      <c r="E23" s="103">
        <f t="shared" si="10"/>
        <v>70055</v>
      </c>
      <c r="F23" s="103">
        <f t="shared" si="10"/>
        <v>67303</v>
      </c>
      <c r="G23" s="103">
        <f t="shared" si="10"/>
        <v>53129</v>
      </c>
      <c r="H23" s="103">
        <f t="shared" si="10"/>
        <v>50861</v>
      </c>
      <c r="I23" s="103">
        <f t="shared" si="10"/>
        <v>83494</v>
      </c>
      <c r="J23" s="103">
        <f t="shared" si="10"/>
        <v>791769</v>
      </c>
      <c r="K23" s="103">
        <f t="shared" si="10"/>
        <v>138662</v>
      </c>
      <c r="L23" s="103">
        <f t="shared" si="10"/>
        <v>288697</v>
      </c>
      <c r="M23" s="103">
        <f t="shared" si="10"/>
        <v>1699861</v>
      </c>
      <c r="N23" s="103">
        <f>SUM(N6:N19)</f>
        <v>193658</v>
      </c>
      <c r="O23" s="351">
        <f>SUM(O6:O22)</f>
        <v>242700</v>
      </c>
      <c r="P23" s="351">
        <f>SUM(P6:P22)</f>
        <v>327229</v>
      </c>
      <c r="Q23" s="84">
        <f>SUM(Q6:Q19)</f>
        <v>1569806</v>
      </c>
      <c r="R23" s="84">
        <f aca="true" t="shared" si="11" ref="R23:AB23">SUM(R6:R19)</f>
        <v>1379474</v>
      </c>
      <c r="S23" s="84">
        <f t="shared" si="11"/>
        <v>605329</v>
      </c>
      <c r="T23" s="84">
        <f t="shared" si="11"/>
        <v>720319</v>
      </c>
      <c r="U23" s="84">
        <f t="shared" si="11"/>
        <v>680029</v>
      </c>
      <c r="V23" s="84">
        <f t="shared" si="11"/>
        <v>984893</v>
      </c>
      <c r="W23" s="84">
        <f t="shared" si="11"/>
        <v>288697</v>
      </c>
      <c r="X23" s="84">
        <f t="shared" si="11"/>
        <v>138662</v>
      </c>
      <c r="Y23" s="84">
        <f t="shared" si="11"/>
        <v>1896789</v>
      </c>
      <c r="Z23" s="84">
        <f t="shared" si="11"/>
        <v>710971</v>
      </c>
      <c r="AA23" s="84">
        <f t="shared" si="11"/>
        <v>666582</v>
      </c>
      <c r="AB23" s="84">
        <f t="shared" si="11"/>
        <v>404735</v>
      </c>
      <c r="AC23" s="84">
        <f aca="true" t="shared" si="12" ref="AC23:AO23">SUM(AC6:AC19)</f>
        <v>418209</v>
      </c>
      <c r="AD23" s="84">
        <f t="shared" si="12"/>
        <v>1542136</v>
      </c>
      <c r="AE23" s="84">
        <f t="shared" si="12"/>
        <v>1215781</v>
      </c>
      <c r="AF23" s="84">
        <f t="shared" si="12"/>
        <v>1699861</v>
      </c>
      <c r="AG23" s="84">
        <f t="shared" si="12"/>
        <v>278707</v>
      </c>
      <c r="AH23" s="84">
        <f t="shared" si="12"/>
        <v>514518</v>
      </c>
      <c r="AI23" s="84">
        <f t="shared" si="12"/>
        <v>1607098</v>
      </c>
      <c r="AJ23" s="84">
        <f t="shared" si="12"/>
        <v>657573</v>
      </c>
      <c r="AK23" s="84">
        <f t="shared" si="12"/>
        <v>456172</v>
      </c>
      <c r="AL23" s="84">
        <f t="shared" si="12"/>
        <v>886189</v>
      </c>
      <c r="AM23" s="84">
        <f t="shared" si="12"/>
        <v>374058</v>
      </c>
      <c r="AN23" s="84">
        <f t="shared" si="12"/>
        <v>150441</v>
      </c>
      <c r="AO23" s="84">
        <f t="shared" si="12"/>
        <v>72228</v>
      </c>
      <c r="AP23" s="84">
        <f aca="true" t="shared" si="13" ref="AP23:AX23">SUM(AP6:AP19)</f>
        <v>406068</v>
      </c>
      <c r="AQ23" s="84">
        <f t="shared" si="13"/>
        <v>525609</v>
      </c>
      <c r="AR23" s="84">
        <f t="shared" si="13"/>
        <v>352921</v>
      </c>
      <c r="AS23" s="84">
        <f t="shared" si="13"/>
        <v>178574</v>
      </c>
      <c r="AT23" s="84">
        <f t="shared" si="13"/>
        <v>500232</v>
      </c>
      <c r="AU23" s="84">
        <f t="shared" si="13"/>
        <v>301680</v>
      </c>
      <c r="AV23" s="84">
        <f t="shared" si="13"/>
        <v>151120</v>
      </c>
      <c r="AW23" s="84">
        <f t="shared" si="13"/>
        <v>192385</v>
      </c>
      <c r="AX23" s="84">
        <f t="shared" si="13"/>
        <v>214983</v>
      </c>
      <c r="AY23" s="84">
        <f aca="true" t="shared" si="14" ref="AY23:BJ23">SUM(AY6:AY19)</f>
        <v>660374</v>
      </c>
      <c r="AZ23" s="84">
        <f t="shared" si="14"/>
        <v>1856719</v>
      </c>
      <c r="BA23" s="84">
        <f t="shared" si="14"/>
        <v>1348616</v>
      </c>
      <c r="BB23" s="84">
        <f t="shared" si="14"/>
        <v>2517587</v>
      </c>
      <c r="BC23" s="84">
        <f t="shared" si="14"/>
        <v>464297</v>
      </c>
      <c r="BD23" s="84">
        <f t="shared" si="14"/>
        <v>2914242</v>
      </c>
      <c r="BE23" s="84">
        <f t="shared" si="14"/>
        <v>1920230</v>
      </c>
      <c r="BF23" s="84">
        <f t="shared" si="14"/>
        <v>1200370</v>
      </c>
      <c r="BG23" s="84">
        <f t="shared" si="14"/>
        <v>1286688</v>
      </c>
      <c r="BH23" s="84">
        <f t="shared" si="14"/>
        <v>1380981</v>
      </c>
      <c r="BI23" s="84">
        <f t="shared" si="14"/>
        <v>1939209</v>
      </c>
      <c r="BJ23" s="84">
        <f t="shared" si="14"/>
        <v>3796914</v>
      </c>
      <c r="BK23" s="84">
        <f aca="true" t="shared" si="15" ref="BK23:BU23">SUM(BK6:BK19)</f>
        <v>4008543</v>
      </c>
      <c r="BL23" s="84">
        <f t="shared" si="15"/>
        <v>829384</v>
      </c>
      <c r="BM23" s="84">
        <f t="shared" si="15"/>
        <v>984367</v>
      </c>
      <c r="BN23" s="84">
        <f t="shared" si="15"/>
        <v>988351</v>
      </c>
      <c r="BO23" s="84">
        <f t="shared" si="15"/>
        <v>743021</v>
      </c>
      <c r="BP23" s="84">
        <f t="shared" si="15"/>
        <v>2119452</v>
      </c>
      <c r="BQ23" s="84">
        <f t="shared" si="15"/>
        <v>1055117</v>
      </c>
      <c r="BR23" s="84">
        <f t="shared" si="15"/>
        <v>1461834</v>
      </c>
      <c r="BS23" s="84">
        <f t="shared" si="15"/>
        <v>8850851</v>
      </c>
      <c r="BT23" s="84">
        <f t="shared" si="15"/>
        <v>9678455</v>
      </c>
      <c r="BU23" s="84">
        <f t="shared" si="15"/>
        <v>966544</v>
      </c>
      <c r="BV23" s="84">
        <f aca="true" t="shared" si="16" ref="BV23:CG23">SUM(BV6:BV19)</f>
        <v>264937</v>
      </c>
      <c r="BW23" s="84">
        <f t="shared" si="16"/>
        <v>224182</v>
      </c>
      <c r="BX23" s="84">
        <f t="shared" si="16"/>
        <v>321900</v>
      </c>
      <c r="BY23" s="84">
        <f t="shared" si="16"/>
        <v>512336</v>
      </c>
      <c r="BZ23" s="84">
        <f t="shared" si="16"/>
        <v>1044736</v>
      </c>
      <c r="CA23" s="84">
        <f t="shared" si="16"/>
        <v>782769</v>
      </c>
      <c r="CB23" s="84">
        <f t="shared" si="16"/>
        <v>1511546</v>
      </c>
      <c r="CC23" s="84">
        <f t="shared" si="16"/>
        <v>227190</v>
      </c>
      <c r="CD23" s="84">
        <f t="shared" si="16"/>
        <v>170381</v>
      </c>
      <c r="CE23" s="84">
        <f t="shared" si="16"/>
        <v>57852</v>
      </c>
      <c r="CF23" s="84">
        <f t="shared" si="16"/>
        <v>159703</v>
      </c>
      <c r="CG23" s="84">
        <f t="shared" si="16"/>
        <v>605784</v>
      </c>
      <c r="CH23" s="84">
        <f aca="true" t="shared" si="17" ref="CH23:CO23">SUM(CH6:CH19)</f>
        <v>464547</v>
      </c>
      <c r="CI23" s="84">
        <f t="shared" si="17"/>
        <v>774516</v>
      </c>
      <c r="CJ23" s="84">
        <f t="shared" si="17"/>
        <v>488934</v>
      </c>
      <c r="CK23" s="84">
        <f t="shared" si="17"/>
        <v>1039239</v>
      </c>
      <c r="CL23" s="84">
        <f t="shared" si="17"/>
        <v>451059</v>
      </c>
      <c r="CM23" s="84">
        <f t="shared" si="17"/>
        <v>1013542</v>
      </c>
      <c r="CN23" s="84">
        <f t="shared" si="17"/>
        <v>484674</v>
      </c>
      <c r="CO23" s="84">
        <f t="shared" si="17"/>
        <v>1427032</v>
      </c>
      <c r="CP23" s="103">
        <f>SUM(CP6:CP19)</f>
        <v>98900</v>
      </c>
      <c r="CQ23" s="103">
        <f>SUM(CQ6:CQ19)</f>
        <v>120559</v>
      </c>
      <c r="CR23" s="103">
        <f>SUM(CR6:CR19)</f>
        <v>75741</v>
      </c>
      <c r="CS23" s="103">
        <f aca="true" t="shared" si="18" ref="CS23:DE23">SUM(CS6:CS19)</f>
        <v>53397</v>
      </c>
      <c r="CT23" s="103">
        <f t="shared" si="18"/>
        <v>98344</v>
      </c>
      <c r="CU23" s="103">
        <f t="shared" si="18"/>
        <v>142157</v>
      </c>
      <c r="CV23" s="103">
        <f t="shared" si="18"/>
        <v>68894</v>
      </c>
      <c r="CW23" s="103">
        <f t="shared" si="18"/>
        <v>111225</v>
      </c>
      <c r="CX23" s="103">
        <f t="shared" si="18"/>
        <v>107602</v>
      </c>
      <c r="CY23" s="103">
        <f t="shared" si="18"/>
        <v>117892</v>
      </c>
      <c r="CZ23" s="103">
        <f t="shared" si="18"/>
        <v>56076</v>
      </c>
      <c r="DA23" s="103">
        <f t="shared" si="18"/>
        <v>79951</v>
      </c>
      <c r="DB23" s="103">
        <f t="shared" si="18"/>
        <v>126994</v>
      </c>
      <c r="DC23" s="103">
        <f t="shared" si="18"/>
        <v>46230</v>
      </c>
      <c r="DD23" s="103">
        <f t="shared" si="18"/>
        <v>132185</v>
      </c>
      <c r="DE23" s="103">
        <f t="shared" si="18"/>
        <v>131244</v>
      </c>
      <c r="DF23" s="103">
        <f>SUM(DF6:DF22)</f>
        <v>86246</v>
      </c>
      <c r="DG23" s="103">
        <f>SUM(DG6:DG22)</f>
        <v>90186</v>
      </c>
      <c r="DH23" s="103">
        <f>SUM(DH6:DH22)</f>
        <v>161485</v>
      </c>
      <c r="DI23" s="103">
        <f aca="true" t="shared" si="19" ref="DI23:DR23">SUM(DI6:DI19)</f>
        <v>55104</v>
      </c>
      <c r="DJ23" s="103">
        <f t="shared" si="19"/>
        <v>55104</v>
      </c>
      <c r="DK23" s="103">
        <f t="shared" si="19"/>
        <v>67680</v>
      </c>
      <c r="DL23" s="84">
        <f t="shared" si="19"/>
        <v>748933</v>
      </c>
      <c r="DM23" s="103">
        <f t="shared" si="19"/>
        <v>73342</v>
      </c>
      <c r="DN23" s="103">
        <f t="shared" si="19"/>
        <v>268434</v>
      </c>
      <c r="DO23" s="103">
        <f t="shared" si="19"/>
        <v>25536</v>
      </c>
      <c r="DP23" s="103">
        <f t="shared" si="19"/>
        <v>31891</v>
      </c>
      <c r="DQ23" s="103">
        <f t="shared" si="19"/>
        <v>71732</v>
      </c>
      <c r="DR23" s="103">
        <f t="shared" si="19"/>
        <v>79788</v>
      </c>
      <c r="DS23" s="103">
        <f aca="true" t="shared" si="20" ref="DS23:EF23">SUM(DS6:DS19)</f>
        <v>73342</v>
      </c>
      <c r="DT23" s="103">
        <f t="shared" si="20"/>
        <v>268434</v>
      </c>
      <c r="DU23" s="103">
        <f t="shared" si="20"/>
        <v>24486</v>
      </c>
      <c r="DV23" s="103">
        <f t="shared" si="20"/>
        <v>28478</v>
      </c>
      <c r="DW23" s="103">
        <f t="shared" si="20"/>
        <v>71732</v>
      </c>
      <c r="DX23" s="103">
        <f t="shared" si="20"/>
        <v>79788</v>
      </c>
      <c r="DY23" s="103">
        <f t="shared" si="20"/>
        <v>101437</v>
      </c>
      <c r="DZ23" s="103">
        <f t="shared" si="20"/>
        <v>91672</v>
      </c>
      <c r="EA23" s="103">
        <f t="shared" si="20"/>
        <v>79447</v>
      </c>
      <c r="EB23" s="103">
        <f t="shared" si="20"/>
        <v>73212</v>
      </c>
      <c r="EC23" s="103">
        <f t="shared" si="20"/>
        <v>360114</v>
      </c>
      <c r="ED23" s="103">
        <f t="shared" si="20"/>
        <v>387573</v>
      </c>
      <c r="EE23" s="103">
        <f t="shared" si="20"/>
        <v>266838</v>
      </c>
      <c r="EF23" s="103">
        <f t="shared" si="20"/>
        <v>294297</v>
      </c>
      <c r="EG23" s="103">
        <f aca="true" t="shared" si="21" ref="EG23:EN23">SUM(EG6:EG19)</f>
        <v>1065546</v>
      </c>
      <c r="EH23" s="103">
        <f t="shared" si="21"/>
        <v>346381</v>
      </c>
      <c r="EI23" s="103">
        <f t="shared" si="21"/>
        <v>1782845</v>
      </c>
      <c r="EJ23" s="103">
        <f t="shared" si="21"/>
        <v>206070</v>
      </c>
      <c r="EK23" s="103">
        <f t="shared" si="21"/>
        <v>2938471</v>
      </c>
      <c r="EL23" s="103">
        <f>SUM(EL6:EL19)</f>
        <v>3728271</v>
      </c>
      <c r="EM23" s="103">
        <f t="shared" si="21"/>
        <v>832497</v>
      </c>
      <c r="EN23" s="103">
        <f t="shared" si="21"/>
        <v>127623</v>
      </c>
    </row>
    <row r="24" spans="1:144" ht="22.5" customHeight="1">
      <c r="A24" s="1131" t="s">
        <v>501</v>
      </c>
      <c r="B24" s="1131"/>
      <c r="C24" s="1131"/>
      <c r="D24" s="103">
        <f aca="true" t="shared" si="22" ref="D24:M24">D3-D23</f>
        <v>12672</v>
      </c>
      <c r="E24" s="103">
        <f t="shared" si="22"/>
        <v>30070</v>
      </c>
      <c r="F24" s="103">
        <f t="shared" si="22"/>
        <v>26447</v>
      </c>
      <c r="G24" s="103">
        <f t="shared" si="22"/>
        <v>40621</v>
      </c>
      <c r="H24" s="103">
        <f t="shared" si="22"/>
        <v>1639</v>
      </c>
      <c r="I24" s="103">
        <f t="shared" si="22"/>
        <v>364652</v>
      </c>
      <c r="J24" s="103">
        <f t="shared" si="22"/>
        <v>1208231</v>
      </c>
      <c r="K24" s="103">
        <f t="shared" si="22"/>
        <v>71338</v>
      </c>
      <c r="L24" s="103">
        <f t="shared" si="22"/>
        <v>92903</v>
      </c>
      <c r="M24" s="103">
        <f t="shared" si="22"/>
        <v>859839</v>
      </c>
      <c r="N24" s="103">
        <f>N3-N23</f>
        <v>224342</v>
      </c>
      <c r="O24" s="382">
        <f>O3-O23</f>
        <v>205446</v>
      </c>
      <c r="P24" s="382">
        <f>P3-P23</f>
        <v>195407.79999999993</v>
      </c>
      <c r="Q24" s="84">
        <f>Q3-Q23</f>
        <v>1204894</v>
      </c>
      <c r="R24" s="84">
        <f aca="true" t="shared" si="23" ref="R24:AB24">R3-R23</f>
        <v>1507126</v>
      </c>
      <c r="S24" s="84">
        <f t="shared" si="23"/>
        <v>275271</v>
      </c>
      <c r="T24" s="84">
        <f t="shared" si="23"/>
        <v>684542</v>
      </c>
      <c r="U24" s="84">
        <f t="shared" si="23"/>
        <v>688621</v>
      </c>
      <c r="V24" s="84">
        <f t="shared" si="23"/>
        <v>641807</v>
      </c>
      <c r="W24" s="84">
        <f t="shared" si="23"/>
        <v>92603</v>
      </c>
      <c r="X24" s="84">
        <f t="shared" si="23"/>
        <v>71338</v>
      </c>
      <c r="Y24" s="84">
        <f t="shared" si="23"/>
        <v>1199461</v>
      </c>
      <c r="Z24" s="84">
        <f t="shared" si="23"/>
        <v>489029</v>
      </c>
      <c r="AA24" s="84">
        <f t="shared" si="23"/>
        <v>181398</v>
      </c>
      <c r="AB24" s="84">
        <f t="shared" si="23"/>
        <v>429035</v>
      </c>
      <c r="AC24" s="84">
        <f aca="true" t="shared" si="24" ref="AC24:AN24">AC3-AC23</f>
        <v>186291</v>
      </c>
      <c r="AD24" s="84">
        <f t="shared" si="24"/>
        <v>454784</v>
      </c>
      <c r="AE24" s="84">
        <f t="shared" si="24"/>
        <v>1557413</v>
      </c>
      <c r="AF24" s="84">
        <f t="shared" si="24"/>
        <v>859917</v>
      </c>
      <c r="AG24" s="84">
        <f t="shared" si="24"/>
        <v>316253</v>
      </c>
      <c r="AH24" s="84">
        <f t="shared" si="24"/>
        <v>366738</v>
      </c>
      <c r="AI24" s="84">
        <f t="shared" si="24"/>
        <v>1441387</v>
      </c>
      <c r="AJ24" s="84">
        <f t="shared" si="24"/>
        <v>1215070</v>
      </c>
      <c r="AK24" s="84">
        <f t="shared" si="24"/>
        <v>590118</v>
      </c>
      <c r="AL24" s="84">
        <f t="shared" si="24"/>
        <v>1394686</v>
      </c>
      <c r="AM24" s="84">
        <f t="shared" si="24"/>
        <v>589142</v>
      </c>
      <c r="AN24" s="84">
        <f t="shared" si="24"/>
        <v>149559</v>
      </c>
      <c r="AO24" s="84">
        <f>AO3-AO23</f>
        <v>227772</v>
      </c>
      <c r="AP24" s="84">
        <f aca="true" t="shared" si="25" ref="AP24:AX24">AP3-AP23</f>
        <v>577932</v>
      </c>
      <c r="AQ24" s="84">
        <f t="shared" si="25"/>
        <v>458391</v>
      </c>
      <c r="AR24" s="84">
        <f t="shared" si="25"/>
        <v>419346</v>
      </c>
      <c r="AS24" s="84">
        <f t="shared" si="25"/>
        <v>221426</v>
      </c>
      <c r="AT24" s="84">
        <f t="shared" si="25"/>
        <v>149768</v>
      </c>
      <c r="AU24" s="84">
        <f t="shared" si="25"/>
        <v>128320</v>
      </c>
      <c r="AV24" s="84">
        <f t="shared" si="25"/>
        <v>88880</v>
      </c>
      <c r="AW24" s="84">
        <f t="shared" si="25"/>
        <v>307615</v>
      </c>
      <c r="AX24" s="84">
        <f t="shared" si="25"/>
        <v>55017</v>
      </c>
      <c r="AY24" s="84">
        <f aca="true" t="shared" si="26" ref="AY24:BJ24">AY3-AY23</f>
        <v>443506</v>
      </c>
      <c r="AZ24" s="84">
        <f t="shared" si="26"/>
        <v>183431</v>
      </c>
      <c r="BA24" s="84">
        <f t="shared" si="26"/>
        <v>1034284</v>
      </c>
      <c r="BB24" s="84">
        <f t="shared" si="26"/>
        <v>682885</v>
      </c>
      <c r="BC24" s="84">
        <f t="shared" si="26"/>
        <v>151428</v>
      </c>
      <c r="BD24" s="84">
        <f t="shared" si="26"/>
        <v>1511618</v>
      </c>
      <c r="BE24" s="84">
        <f t="shared" si="26"/>
        <v>816490</v>
      </c>
      <c r="BF24" s="84">
        <f t="shared" si="26"/>
        <v>464630</v>
      </c>
      <c r="BG24" s="84">
        <f t="shared" si="26"/>
        <v>993312</v>
      </c>
      <c r="BH24" s="84">
        <f t="shared" si="26"/>
        <v>1517019</v>
      </c>
      <c r="BI24" s="84">
        <f t="shared" si="26"/>
        <v>587991</v>
      </c>
      <c r="BJ24" s="84">
        <f t="shared" si="26"/>
        <v>3734436</v>
      </c>
      <c r="BK24" s="84">
        <f aca="true" t="shared" si="27" ref="BK24:BU24">BK3-BK23</f>
        <v>1113947</v>
      </c>
      <c r="BL24" s="84">
        <f t="shared" si="27"/>
        <v>522953</v>
      </c>
      <c r="BM24" s="84">
        <f t="shared" si="27"/>
        <v>579473</v>
      </c>
      <c r="BN24" s="84">
        <f t="shared" si="27"/>
        <v>505394</v>
      </c>
      <c r="BO24" s="84">
        <f t="shared" si="27"/>
        <v>428869</v>
      </c>
      <c r="BP24" s="84">
        <f t="shared" si="27"/>
        <v>2255473</v>
      </c>
      <c r="BQ24" s="84">
        <f t="shared" si="27"/>
        <v>326083</v>
      </c>
      <c r="BR24" s="84">
        <f t="shared" si="27"/>
        <v>516601</v>
      </c>
      <c r="BS24" s="84">
        <f t="shared" si="27"/>
        <v>3161149</v>
      </c>
      <c r="BT24" s="84">
        <f t="shared" si="27"/>
        <v>2333545</v>
      </c>
      <c r="BU24" s="84">
        <f t="shared" si="27"/>
        <v>1638312</v>
      </c>
      <c r="BV24" s="84">
        <f aca="true" t="shared" si="28" ref="BV24:CG24">BV3-BV23</f>
        <v>276663</v>
      </c>
      <c r="BW24" s="84">
        <f t="shared" si="28"/>
        <v>246818</v>
      </c>
      <c r="BX24" s="84">
        <f t="shared" si="28"/>
        <v>495540</v>
      </c>
      <c r="BY24" s="84">
        <f t="shared" si="28"/>
        <v>417264</v>
      </c>
      <c r="BZ24" s="84">
        <f t="shared" si="28"/>
        <v>884164</v>
      </c>
      <c r="CA24" s="84">
        <f t="shared" si="28"/>
        <v>634431</v>
      </c>
      <c r="CB24" s="84">
        <f t="shared" si="28"/>
        <v>967350</v>
      </c>
      <c r="CC24" s="84">
        <f t="shared" si="28"/>
        <v>406490</v>
      </c>
      <c r="CD24" s="84">
        <f t="shared" si="28"/>
        <v>260469</v>
      </c>
      <c r="CE24" s="84">
        <f t="shared" si="28"/>
        <v>42148</v>
      </c>
      <c r="CF24" s="84">
        <f t="shared" si="28"/>
        <v>247697</v>
      </c>
      <c r="CG24" s="84">
        <f t="shared" si="28"/>
        <v>838601</v>
      </c>
      <c r="CH24" s="84">
        <f aca="true" t="shared" si="29" ref="CH24:CO24">CH3-CH23</f>
        <v>604788</v>
      </c>
      <c r="CI24" s="84">
        <f t="shared" si="29"/>
        <v>835924</v>
      </c>
      <c r="CJ24" s="84">
        <f t="shared" si="29"/>
        <v>407644</v>
      </c>
      <c r="CK24" s="84">
        <f t="shared" si="29"/>
        <v>664791</v>
      </c>
      <c r="CL24" s="84">
        <f t="shared" si="29"/>
        <v>373941</v>
      </c>
      <c r="CM24" s="84">
        <f t="shared" si="29"/>
        <v>479958</v>
      </c>
      <c r="CN24" s="84">
        <f t="shared" si="29"/>
        <v>516126</v>
      </c>
      <c r="CO24" s="84">
        <f t="shared" si="29"/>
        <v>959968</v>
      </c>
      <c r="CP24" s="103">
        <f>CP3-CP23</f>
        <v>18100</v>
      </c>
      <c r="CQ24" s="103">
        <f>CQ3-CQ23</f>
        <v>9441</v>
      </c>
      <c r="CR24" s="103">
        <f>CR3-CR23</f>
        <v>64839</v>
      </c>
      <c r="CS24" s="103">
        <f aca="true" t="shared" si="30" ref="CS24:DE24">CS3-CS23</f>
        <v>59603</v>
      </c>
      <c r="CT24" s="103">
        <f t="shared" si="30"/>
        <v>34321</v>
      </c>
      <c r="CU24" s="103">
        <f t="shared" si="30"/>
        <v>61943</v>
      </c>
      <c r="CV24" s="103">
        <f t="shared" si="30"/>
        <v>73976</v>
      </c>
      <c r="CW24" s="103">
        <f t="shared" si="30"/>
        <v>60303</v>
      </c>
      <c r="CX24" s="103">
        <f t="shared" si="30"/>
        <v>65883</v>
      </c>
      <c r="CY24" s="103">
        <f t="shared" si="30"/>
        <v>25118</v>
      </c>
      <c r="CZ24" s="103">
        <f t="shared" si="30"/>
        <v>107364</v>
      </c>
      <c r="DA24" s="103">
        <f t="shared" si="30"/>
        <v>22199</v>
      </c>
      <c r="DB24" s="103">
        <f t="shared" si="30"/>
        <v>36446</v>
      </c>
      <c r="DC24" s="103">
        <f t="shared" si="30"/>
        <v>76350</v>
      </c>
      <c r="DD24" s="103">
        <f t="shared" si="30"/>
        <v>51505</v>
      </c>
      <c r="DE24" s="103">
        <f t="shared" si="30"/>
        <v>52446</v>
      </c>
      <c r="DF24" s="103">
        <f aca="true" t="shared" si="31" ref="DF24:DL24">DF3-DF23</f>
        <v>77034</v>
      </c>
      <c r="DG24" s="103">
        <f t="shared" si="31"/>
        <v>52824</v>
      </c>
      <c r="DH24" s="103">
        <f t="shared" si="31"/>
        <v>42615</v>
      </c>
      <c r="DI24" s="103">
        <f t="shared" si="31"/>
        <v>38646</v>
      </c>
      <c r="DJ24" s="103">
        <f t="shared" si="31"/>
        <v>7396</v>
      </c>
      <c r="DK24" s="103">
        <f t="shared" si="31"/>
        <v>26070</v>
      </c>
      <c r="DL24" s="84">
        <f t="shared" si="31"/>
        <v>118967</v>
      </c>
      <c r="DM24" s="103">
        <f aca="true" t="shared" si="32" ref="DM24:EF24">DM3-DM23</f>
        <v>49718</v>
      </c>
      <c r="DN24" s="103">
        <f t="shared" si="32"/>
        <v>391566</v>
      </c>
      <c r="DO24" s="103">
        <f t="shared" si="32"/>
        <v>94864</v>
      </c>
      <c r="DP24" s="103">
        <f t="shared" si="32"/>
        <v>48109</v>
      </c>
      <c r="DQ24" s="114">
        <f t="shared" si="32"/>
        <v>-71732</v>
      </c>
      <c r="DR24" s="114">
        <f t="shared" si="32"/>
        <v>-79788</v>
      </c>
      <c r="DS24" s="103">
        <f t="shared" si="32"/>
        <v>49718</v>
      </c>
      <c r="DT24" s="103">
        <f t="shared" si="32"/>
        <v>391566</v>
      </c>
      <c r="DU24" s="103">
        <f t="shared" si="32"/>
        <v>95914</v>
      </c>
      <c r="DV24" s="103">
        <f t="shared" si="32"/>
        <v>51522</v>
      </c>
      <c r="DW24" s="103">
        <f t="shared" si="32"/>
        <v>-71732</v>
      </c>
      <c r="DX24" s="103">
        <f t="shared" si="32"/>
        <v>-79788</v>
      </c>
      <c r="DY24" s="103">
        <f t="shared" si="32"/>
        <v>58563</v>
      </c>
      <c r="DZ24" s="103">
        <f t="shared" si="32"/>
        <v>48328</v>
      </c>
      <c r="EA24" s="103">
        <f t="shared" si="32"/>
        <v>80553</v>
      </c>
      <c r="EB24" s="103">
        <f t="shared" si="32"/>
        <v>66788</v>
      </c>
      <c r="EC24" s="103">
        <f t="shared" si="32"/>
        <v>149486</v>
      </c>
      <c r="ED24" s="103">
        <f t="shared" si="32"/>
        <v>174927</v>
      </c>
      <c r="EE24" s="103">
        <f t="shared" si="32"/>
        <v>242762</v>
      </c>
      <c r="EF24" s="103">
        <f t="shared" si="32"/>
        <v>268203</v>
      </c>
      <c r="EG24" s="103">
        <f aca="true" t="shared" si="33" ref="EG24:EN24">EG3-EG23</f>
        <v>758454</v>
      </c>
      <c r="EH24" s="103">
        <f t="shared" si="33"/>
        <v>277603</v>
      </c>
      <c r="EI24" s="103">
        <f t="shared" si="33"/>
        <v>729309</v>
      </c>
      <c r="EJ24" s="103">
        <f t="shared" si="33"/>
        <v>157722</v>
      </c>
      <c r="EK24" s="103">
        <f t="shared" si="33"/>
        <v>1434709</v>
      </c>
      <c r="EL24" s="103">
        <f t="shared" si="33"/>
        <v>1487767</v>
      </c>
      <c r="EM24" s="103">
        <f t="shared" si="33"/>
        <v>444262</v>
      </c>
      <c r="EN24" s="103">
        <f t="shared" si="33"/>
        <v>172377</v>
      </c>
    </row>
  </sheetData>
  <sheetProtection/>
  <protectedRanges>
    <protectedRange sqref="CS6:CS16" name="範囲10"/>
    <protectedRange sqref="DI19:DK19 DL6:DL22" name="範囲10_1"/>
  </protectedRanges>
  <mergeCells count="22">
    <mergeCell ref="B17:C17"/>
    <mergeCell ref="B18:C18"/>
    <mergeCell ref="B20:B22"/>
    <mergeCell ref="B19:C19"/>
    <mergeCell ref="A24:C24"/>
    <mergeCell ref="B23:C23"/>
    <mergeCell ref="B16:C16"/>
    <mergeCell ref="A1:C1"/>
    <mergeCell ref="A2:C2"/>
    <mergeCell ref="A3:A5"/>
    <mergeCell ref="B3:C3"/>
    <mergeCell ref="B4:C4"/>
    <mergeCell ref="B10:C10"/>
    <mergeCell ref="B5:C5"/>
    <mergeCell ref="A6:A23"/>
    <mergeCell ref="B6:C6"/>
    <mergeCell ref="B8:C8"/>
    <mergeCell ref="B7:C7"/>
    <mergeCell ref="B9:C9"/>
    <mergeCell ref="B11:C11"/>
    <mergeCell ref="B12:C12"/>
    <mergeCell ref="B13:B15"/>
  </mergeCells>
  <printOptions/>
  <pageMargins left="0.787" right="0.26" top="0.69" bottom="0.18" header="0.512" footer="0.512"/>
  <pageSetup horizontalDpi="300" verticalDpi="300" orientation="landscape" paperSize="9" r:id="rId3"/>
  <legacyDrawing r:id="rId2"/>
</worksheet>
</file>

<file path=xl/worksheets/sheet9.xml><?xml version="1.0" encoding="utf-8"?>
<worksheet xmlns="http://schemas.openxmlformats.org/spreadsheetml/2006/main" xmlns:r="http://schemas.openxmlformats.org/officeDocument/2006/relationships">
  <sheetPr>
    <tabColor indexed="10"/>
    <pageSetUpPr fitToPage="1"/>
  </sheetPr>
  <dimension ref="A1:AJ35"/>
  <sheetViews>
    <sheetView zoomScale="90" zoomScaleNormal="90" zoomScalePageLayoutView="0" workbookViewId="0" topLeftCell="A1">
      <selection activeCell="V29" sqref="V29"/>
    </sheetView>
  </sheetViews>
  <sheetFormatPr defaultColWidth="4.125" defaultRowHeight="13.5"/>
  <cols>
    <col min="1" max="1" width="4.125" style="20" customWidth="1"/>
    <col min="2" max="2" width="9.125" style="20" customWidth="1"/>
    <col min="3" max="3" width="4.625" style="20" customWidth="1"/>
    <col min="4" max="4" width="7.625" style="20" customWidth="1"/>
    <col min="5" max="5" width="2.625" style="20" customWidth="1"/>
    <col min="6" max="17" width="7.875" style="20" customWidth="1"/>
    <col min="18" max="18" width="8.625" style="20" customWidth="1"/>
    <col min="19" max="21" width="4.125" style="20" customWidth="1"/>
    <col min="22" max="22" width="10.50390625" style="20" customWidth="1"/>
    <col min="23" max="34" width="5.75390625" style="20" customWidth="1"/>
    <col min="35" max="16384" width="4.125" style="20" customWidth="1"/>
  </cols>
  <sheetData>
    <row r="1" spans="1:5" s="19" customFormat="1" ht="20.25" customHeight="1">
      <c r="A1" s="127">
        <v>1</v>
      </c>
      <c r="B1" s="130" t="s">
        <v>326</v>
      </c>
      <c r="C1" s="130"/>
      <c r="D1" s="130"/>
      <c r="E1" s="18"/>
    </row>
    <row r="2" spans="1:18" ht="23.25" customHeight="1">
      <c r="A2" s="455"/>
      <c r="B2" s="1151" t="s">
        <v>336</v>
      </c>
      <c r="C2" s="1152"/>
      <c r="D2" s="1152" t="s">
        <v>337</v>
      </c>
      <c r="E2" s="1153"/>
      <c r="F2" s="434" t="s">
        <v>338</v>
      </c>
      <c r="G2" s="429" t="s">
        <v>339</v>
      </c>
      <c r="H2" s="429" t="s">
        <v>340</v>
      </c>
      <c r="I2" s="429" t="s">
        <v>341</v>
      </c>
      <c r="J2" s="429" t="s">
        <v>342</v>
      </c>
      <c r="K2" s="429" t="s">
        <v>343</v>
      </c>
      <c r="L2" s="429" t="s">
        <v>344</v>
      </c>
      <c r="M2" s="429" t="s">
        <v>345</v>
      </c>
      <c r="N2" s="429" t="s">
        <v>346</v>
      </c>
      <c r="O2" s="429" t="s">
        <v>347</v>
      </c>
      <c r="P2" s="429" t="s">
        <v>348</v>
      </c>
      <c r="Q2" s="430" t="s">
        <v>349</v>
      </c>
      <c r="R2" s="390" t="s">
        <v>615</v>
      </c>
    </row>
    <row r="3" spans="1:36" ht="15" customHeight="1">
      <c r="A3" s="1172" t="s">
        <v>0</v>
      </c>
      <c r="B3" s="1176">
        <f>IF('目標(耕種農家のみ)'!X5=0,"",'目標(耕種農家のみ)'!X5)</f>
      </c>
      <c r="C3" s="1177"/>
      <c r="D3" s="447" t="e">
        <f>'目標(耕種農家のみ)'!H7</f>
        <v>#REF!</v>
      </c>
      <c r="E3" s="448" t="e">
        <f>IF(#REF!=0,"",#REF!)</f>
        <v>#REF!</v>
      </c>
      <c r="F3" s="435" t="e">
        <f aca="true" t="shared" si="0" ref="F3:Q3">$D$3/10*F28</f>
        <v>#REF!</v>
      </c>
      <c r="G3" s="436" t="e">
        <f t="shared" si="0"/>
        <v>#REF!</v>
      </c>
      <c r="H3" s="436" t="e">
        <f t="shared" si="0"/>
        <v>#REF!</v>
      </c>
      <c r="I3" s="436" t="e">
        <f t="shared" si="0"/>
        <v>#REF!</v>
      </c>
      <c r="J3" s="436" t="e">
        <f t="shared" si="0"/>
        <v>#REF!</v>
      </c>
      <c r="K3" s="436" t="e">
        <f t="shared" si="0"/>
        <v>#REF!</v>
      </c>
      <c r="L3" s="436" t="e">
        <f t="shared" si="0"/>
        <v>#REF!</v>
      </c>
      <c r="M3" s="436" t="e">
        <f t="shared" si="0"/>
        <v>#REF!</v>
      </c>
      <c r="N3" s="436" t="e">
        <f t="shared" si="0"/>
        <v>#REF!</v>
      </c>
      <c r="O3" s="436" t="e">
        <f t="shared" si="0"/>
        <v>#REF!</v>
      </c>
      <c r="P3" s="436" t="e">
        <f t="shared" si="0"/>
        <v>#REF!</v>
      </c>
      <c r="Q3" s="437" t="e">
        <f t="shared" si="0"/>
        <v>#REF!</v>
      </c>
      <c r="R3" s="431" t="e">
        <f>SUM(F3:Q3)</f>
        <v>#REF!</v>
      </c>
      <c r="AJ3" s="36"/>
    </row>
    <row r="4" spans="1:36" ht="15" customHeight="1">
      <c r="A4" s="1173"/>
      <c r="B4" s="1137">
        <f>IF('目標(耕種農家のみ)'!AA5=0,"",'目標(耕種農家のみ)'!AA5)</f>
      </c>
      <c r="C4" s="1138"/>
      <c r="D4" s="449" t="e">
        <f>IF('目標(耕種農家のみ)'!J7="","",'目標(耕種農家のみ)'!J7)</f>
        <v>#REF!</v>
      </c>
      <c r="E4" s="450" t="e">
        <f>IF(#REF!=0,"",#REF!)</f>
        <v>#REF!</v>
      </c>
      <c r="F4" s="438" t="e">
        <f>IF($D4="","",$D4/10*F29)</f>
        <v>#REF!</v>
      </c>
      <c r="G4" s="439" t="e">
        <f aca="true" t="shared" si="1" ref="G4:Q4">IF($D$4="","",$D$4/10*G29)</f>
        <v>#REF!</v>
      </c>
      <c r="H4" s="439" t="e">
        <f t="shared" si="1"/>
        <v>#REF!</v>
      </c>
      <c r="I4" s="439" t="e">
        <f t="shared" si="1"/>
        <v>#REF!</v>
      </c>
      <c r="J4" s="439" t="e">
        <f t="shared" si="1"/>
        <v>#REF!</v>
      </c>
      <c r="K4" s="439" t="e">
        <f t="shared" si="1"/>
        <v>#REF!</v>
      </c>
      <c r="L4" s="439" t="e">
        <f t="shared" si="1"/>
        <v>#REF!</v>
      </c>
      <c r="M4" s="439" t="e">
        <f t="shared" si="1"/>
        <v>#REF!</v>
      </c>
      <c r="N4" s="439" t="e">
        <f t="shared" si="1"/>
        <v>#REF!</v>
      </c>
      <c r="O4" s="439" t="e">
        <f t="shared" si="1"/>
        <v>#REF!</v>
      </c>
      <c r="P4" s="439" t="e">
        <f t="shared" si="1"/>
        <v>#REF!</v>
      </c>
      <c r="Q4" s="440" t="e">
        <f t="shared" si="1"/>
        <v>#REF!</v>
      </c>
      <c r="R4" s="433" t="e">
        <f>IF($D4="","",SUM(F4:Q4))</f>
        <v>#REF!</v>
      </c>
      <c r="AJ4" s="36"/>
    </row>
    <row r="5" spans="1:36" ht="15" customHeight="1">
      <c r="A5" s="1173"/>
      <c r="B5" s="1137">
        <f>IF('目標(耕種農家のみ)'!AD5=0,"",'目標(耕種農家のみ)'!AD5)</f>
      </c>
      <c r="C5" s="1138"/>
      <c r="D5" s="449" t="e">
        <f>IF('目標(耕種農家のみ)'!L7="","",'目標(耕種農家のみ)'!L7)</f>
        <v>#REF!</v>
      </c>
      <c r="E5" s="450" t="e">
        <f>IF(#REF!=0,"",#REF!)</f>
        <v>#REF!</v>
      </c>
      <c r="F5" s="438" t="e">
        <f>IF($D5="","",$D5/10*F30)</f>
        <v>#REF!</v>
      </c>
      <c r="G5" s="439" t="e">
        <f aca="true" t="shared" si="2" ref="G5:Q5">IF($D5="","",$D5/10*G30)</f>
        <v>#REF!</v>
      </c>
      <c r="H5" s="439" t="e">
        <f t="shared" si="2"/>
        <v>#REF!</v>
      </c>
      <c r="I5" s="439" t="e">
        <f t="shared" si="2"/>
        <v>#REF!</v>
      </c>
      <c r="J5" s="439" t="e">
        <f t="shared" si="2"/>
        <v>#REF!</v>
      </c>
      <c r="K5" s="439" t="e">
        <f t="shared" si="2"/>
        <v>#REF!</v>
      </c>
      <c r="L5" s="439" t="e">
        <f t="shared" si="2"/>
        <v>#REF!</v>
      </c>
      <c r="M5" s="439" t="e">
        <f t="shared" si="2"/>
        <v>#REF!</v>
      </c>
      <c r="N5" s="439" t="e">
        <f t="shared" si="2"/>
        <v>#REF!</v>
      </c>
      <c r="O5" s="439" t="e">
        <f t="shared" si="2"/>
        <v>#REF!</v>
      </c>
      <c r="P5" s="439" t="e">
        <f t="shared" si="2"/>
        <v>#REF!</v>
      </c>
      <c r="Q5" s="440" t="e">
        <f t="shared" si="2"/>
        <v>#REF!</v>
      </c>
      <c r="R5" s="433" t="e">
        <f>IF(D5="","",SUM(F5:Q5))</f>
        <v>#REF!</v>
      </c>
      <c r="AJ5" s="36"/>
    </row>
    <row r="6" spans="1:36" ht="15" customHeight="1">
      <c r="A6" s="1174"/>
      <c r="B6" s="1137">
        <f>IF('目標(耕種農家のみ)'!AG5=0,"",'目標(耕種農家のみ)'!AG5)</f>
      </c>
      <c r="C6" s="1138"/>
      <c r="D6" s="449" t="e">
        <f>IF('目標(耕種農家のみ)'!N7="","",'目標(耕種農家のみ)'!N7)</f>
        <v>#REF!</v>
      </c>
      <c r="E6" s="450" t="e">
        <f>IF(#REF!=0,"",#REF!)</f>
        <v>#REF!</v>
      </c>
      <c r="F6" s="438" t="e">
        <f>IF($D6="","",$D6/10*F31)</f>
        <v>#REF!</v>
      </c>
      <c r="G6" s="439" t="e">
        <f aca="true" t="shared" si="3" ref="G6:Q6">IF($D6="","",$D6/10*G31)</f>
        <v>#REF!</v>
      </c>
      <c r="H6" s="439" t="e">
        <f t="shared" si="3"/>
        <v>#REF!</v>
      </c>
      <c r="I6" s="439" t="e">
        <f t="shared" si="3"/>
        <v>#REF!</v>
      </c>
      <c r="J6" s="439" t="e">
        <f t="shared" si="3"/>
        <v>#REF!</v>
      </c>
      <c r="K6" s="439" t="e">
        <f t="shared" si="3"/>
        <v>#REF!</v>
      </c>
      <c r="L6" s="439" t="e">
        <f t="shared" si="3"/>
        <v>#REF!</v>
      </c>
      <c r="M6" s="439" t="e">
        <f t="shared" si="3"/>
        <v>#REF!</v>
      </c>
      <c r="N6" s="439" t="e">
        <f t="shared" si="3"/>
        <v>#REF!</v>
      </c>
      <c r="O6" s="439" t="e">
        <f t="shared" si="3"/>
        <v>#REF!</v>
      </c>
      <c r="P6" s="439" t="e">
        <f t="shared" si="3"/>
        <v>#REF!</v>
      </c>
      <c r="Q6" s="440" t="e">
        <f t="shared" si="3"/>
        <v>#REF!</v>
      </c>
      <c r="R6" s="433" t="e">
        <f>IF(D6="","",SUM(F6:Q6))</f>
        <v>#REF!</v>
      </c>
      <c r="AJ6" s="36"/>
    </row>
    <row r="7" spans="1:36" ht="15" customHeight="1">
      <c r="A7" s="1174"/>
      <c r="B7" s="1137">
        <f>IF('目標(耕種農家のみ)'!AJ5=0,"",'目標(耕種農家のみ)'!AJ5)</f>
      </c>
      <c r="C7" s="1138"/>
      <c r="D7" s="449" t="e">
        <f>IF('目標(耕種農家のみ)'!P7="","",'目標(耕種農家のみ)'!P7)</f>
        <v>#REF!</v>
      </c>
      <c r="E7" s="450" t="e">
        <f>IF(#REF!=0,"",#REF!)</f>
        <v>#REF!</v>
      </c>
      <c r="F7" s="438" t="e">
        <f>IF($D7="","",$D7/10*F32)</f>
        <v>#REF!</v>
      </c>
      <c r="G7" s="439" t="e">
        <f aca="true" t="shared" si="4" ref="G7:Q7">IF($D7="","",$D7/10*G32)</f>
        <v>#REF!</v>
      </c>
      <c r="H7" s="439" t="e">
        <f t="shared" si="4"/>
        <v>#REF!</v>
      </c>
      <c r="I7" s="439" t="e">
        <f t="shared" si="4"/>
        <v>#REF!</v>
      </c>
      <c r="J7" s="439" t="e">
        <f t="shared" si="4"/>
        <v>#REF!</v>
      </c>
      <c r="K7" s="439" t="e">
        <f t="shared" si="4"/>
        <v>#REF!</v>
      </c>
      <c r="L7" s="439" t="e">
        <f t="shared" si="4"/>
        <v>#REF!</v>
      </c>
      <c r="M7" s="439" t="e">
        <f t="shared" si="4"/>
        <v>#REF!</v>
      </c>
      <c r="N7" s="439" t="e">
        <f t="shared" si="4"/>
        <v>#REF!</v>
      </c>
      <c r="O7" s="439" t="e">
        <f t="shared" si="4"/>
        <v>#REF!</v>
      </c>
      <c r="P7" s="439" t="e">
        <f t="shared" si="4"/>
        <v>#REF!</v>
      </c>
      <c r="Q7" s="440" t="e">
        <f t="shared" si="4"/>
        <v>#REF!</v>
      </c>
      <c r="R7" s="433" t="e">
        <f>IF(D7="","",SUM(F7:Q7))</f>
        <v>#REF!</v>
      </c>
      <c r="AJ7" s="36"/>
    </row>
    <row r="8" spans="1:36" ht="15" customHeight="1">
      <c r="A8" s="1174"/>
      <c r="B8" s="1159">
        <f>IF('目標(耕種農家のみ)'!AM5=0,"",'目標(耕種農家のみ)'!AM5)</f>
      </c>
      <c r="C8" s="1160"/>
      <c r="D8" s="451">
        <f>IF('目標(耕種農家のみ)'!R7="","",'目標(耕種農家のみ)'!R7)</f>
      </c>
      <c r="E8" s="452" t="e">
        <f>IF(#REF!=0,"",#REF!)</f>
        <v>#REF!</v>
      </c>
      <c r="F8" s="441">
        <f>IF($D8="","",$D8/10*F33)</f>
      </c>
      <c r="G8" s="442">
        <f aca="true" t="shared" si="5" ref="G8:Q8">IF($D8="","",$D8/10*G33)</f>
      </c>
      <c r="H8" s="442">
        <f t="shared" si="5"/>
      </c>
      <c r="I8" s="442">
        <f t="shared" si="5"/>
      </c>
      <c r="J8" s="442">
        <f t="shared" si="5"/>
      </c>
      <c r="K8" s="442">
        <f t="shared" si="5"/>
      </c>
      <c r="L8" s="442">
        <f t="shared" si="5"/>
      </c>
      <c r="M8" s="442">
        <f t="shared" si="5"/>
      </c>
      <c r="N8" s="442">
        <f t="shared" si="5"/>
      </c>
      <c r="O8" s="442">
        <f t="shared" si="5"/>
      </c>
      <c r="P8" s="442">
        <f t="shared" si="5"/>
      </c>
      <c r="Q8" s="443">
        <f t="shared" si="5"/>
      </c>
      <c r="R8" s="432">
        <f>IF($D$8="","",SUM(F8:Q8))</f>
      </c>
      <c r="AJ8" s="36"/>
    </row>
    <row r="9" spans="1:36" ht="15" customHeight="1">
      <c r="A9" s="1174"/>
      <c r="B9" s="1154" t="s">
        <v>350</v>
      </c>
      <c r="C9" s="1155"/>
      <c r="D9" s="453" t="e">
        <f>SUM(D3:D8)</f>
        <v>#REF!</v>
      </c>
      <c r="E9" s="454" t="e">
        <f>E3</f>
        <v>#REF!</v>
      </c>
      <c r="F9" s="444" t="e">
        <f>SUM(F3:F8)</f>
        <v>#REF!</v>
      </c>
      <c r="G9" s="445" t="e">
        <f>SUM(G3:G8)</f>
        <v>#REF!</v>
      </c>
      <c r="H9" s="445" t="e">
        <f aca="true" t="shared" si="6" ref="H9:R9">SUM(H3:H8)</f>
        <v>#REF!</v>
      </c>
      <c r="I9" s="445" t="e">
        <f t="shared" si="6"/>
        <v>#REF!</v>
      </c>
      <c r="J9" s="445" t="e">
        <f t="shared" si="6"/>
        <v>#REF!</v>
      </c>
      <c r="K9" s="445" t="e">
        <f t="shared" si="6"/>
        <v>#REF!</v>
      </c>
      <c r="L9" s="445" t="e">
        <f t="shared" si="6"/>
        <v>#REF!</v>
      </c>
      <c r="M9" s="445" t="e">
        <f t="shared" si="6"/>
        <v>#REF!</v>
      </c>
      <c r="N9" s="445" t="e">
        <f t="shared" si="6"/>
        <v>#REF!</v>
      </c>
      <c r="O9" s="445" t="e">
        <f t="shared" si="6"/>
        <v>#REF!</v>
      </c>
      <c r="P9" s="445" t="e">
        <f t="shared" si="6"/>
        <v>#REF!</v>
      </c>
      <c r="Q9" s="446" t="e">
        <f t="shared" si="6"/>
        <v>#REF!</v>
      </c>
      <c r="R9" s="344" t="e">
        <f t="shared" si="6"/>
        <v>#REF!</v>
      </c>
      <c r="AJ9" s="21"/>
    </row>
    <row r="10" spans="1:18" ht="15" customHeight="1">
      <c r="A10" s="1174"/>
      <c r="B10" s="1167" t="s">
        <v>351</v>
      </c>
      <c r="C10" s="1168"/>
      <c r="D10" s="1168"/>
      <c r="E10" s="1168"/>
      <c r="F10" s="456" t="e">
        <f aca="true" t="shared" si="7" ref="F10:Q10">F9-F11</f>
        <v>#REF!</v>
      </c>
      <c r="G10" s="457" t="e">
        <f t="shared" si="7"/>
        <v>#REF!</v>
      </c>
      <c r="H10" s="457" t="e">
        <f t="shared" si="7"/>
        <v>#REF!</v>
      </c>
      <c r="I10" s="457" t="e">
        <f t="shared" si="7"/>
        <v>#REF!</v>
      </c>
      <c r="J10" s="457" t="e">
        <f t="shared" si="7"/>
        <v>#REF!</v>
      </c>
      <c r="K10" s="457" t="e">
        <f t="shared" si="7"/>
        <v>#REF!</v>
      </c>
      <c r="L10" s="457" t="e">
        <f t="shared" si="7"/>
        <v>#REF!</v>
      </c>
      <c r="M10" s="457" t="e">
        <f t="shared" si="7"/>
        <v>#REF!</v>
      </c>
      <c r="N10" s="457" t="e">
        <f t="shared" si="7"/>
        <v>#REF!</v>
      </c>
      <c r="O10" s="457" t="e">
        <f t="shared" si="7"/>
        <v>#REF!</v>
      </c>
      <c r="P10" s="457" t="e">
        <f t="shared" si="7"/>
        <v>#REF!</v>
      </c>
      <c r="Q10" s="458" t="e">
        <f t="shared" si="7"/>
        <v>#REF!</v>
      </c>
      <c r="R10" s="459" t="e">
        <f>SUM(F10:Q10)</f>
        <v>#REF!</v>
      </c>
    </row>
    <row r="11" spans="1:18" ht="15" customHeight="1">
      <c r="A11" s="1175"/>
      <c r="B11" s="1165" t="s">
        <v>352</v>
      </c>
      <c r="C11" s="1166"/>
      <c r="D11" s="1166"/>
      <c r="E11" s="1166"/>
      <c r="F11" s="460" t="e">
        <f aca="true" t="shared" si="8" ref="F11:Q11">F23</f>
        <v>#REF!</v>
      </c>
      <c r="G11" s="461" t="e">
        <f t="shared" si="8"/>
        <v>#REF!</v>
      </c>
      <c r="H11" s="461" t="e">
        <f t="shared" si="8"/>
        <v>#REF!</v>
      </c>
      <c r="I11" s="461" t="e">
        <f t="shared" si="8"/>
        <v>#REF!</v>
      </c>
      <c r="J11" s="461" t="e">
        <f t="shared" si="8"/>
        <v>#REF!</v>
      </c>
      <c r="K11" s="461" t="e">
        <f t="shared" si="8"/>
        <v>#REF!</v>
      </c>
      <c r="L11" s="461" t="e">
        <f t="shared" si="8"/>
        <v>#REF!</v>
      </c>
      <c r="M11" s="461" t="e">
        <f t="shared" si="8"/>
        <v>#REF!</v>
      </c>
      <c r="N11" s="461" t="e">
        <f t="shared" si="8"/>
        <v>#REF!</v>
      </c>
      <c r="O11" s="461" t="e">
        <f t="shared" si="8"/>
        <v>#REF!</v>
      </c>
      <c r="P11" s="461" t="e">
        <f t="shared" si="8"/>
        <v>#REF!</v>
      </c>
      <c r="Q11" s="462" t="e">
        <f t="shared" si="8"/>
        <v>#REF!</v>
      </c>
      <c r="R11" s="463" t="e">
        <f>R9-R10</f>
        <v>#REF!</v>
      </c>
    </row>
    <row r="12" spans="2:18" ht="15" customHeight="1">
      <c r="B12" s="38"/>
      <c r="C12" s="38"/>
      <c r="D12" s="38"/>
      <c r="E12" s="38"/>
      <c r="F12" s="38"/>
      <c r="G12" s="38"/>
      <c r="H12" s="38"/>
      <c r="I12" s="38"/>
      <c r="J12" s="38"/>
      <c r="K12" s="38"/>
      <c r="L12" s="38"/>
      <c r="M12" s="38"/>
      <c r="N12" s="38"/>
      <c r="O12" s="38"/>
      <c r="P12" s="38"/>
      <c r="Q12" s="38"/>
      <c r="R12" s="38"/>
    </row>
    <row r="13" spans="1:18" ht="19.5" customHeight="1">
      <c r="A13" s="126">
        <v>2</v>
      </c>
      <c r="B13" s="128" t="s">
        <v>550</v>
      </c>
      <c r="C13" s="129"/>
      <c r="D13" s="129"/>
      <c r="E13" s="129"/>
      <c r="F13" s="129"/>
      <c r="G13" s="129"/>
      <c r="H13" s="38"/>
      <c r="I13" s="38"/>
      <c r="J13" s="38"/>
      <c r="K13" s="38"/>
      <c r="L13" s="38"/>
      <c r="M13" s="38"/>
      <c r="N13" s="38"/>
      <c r="O13" s="38"/>
      <c r="P13" s="38"/>
      <c r="Q13" s="38"/>
      <c r="R13" s="38"/>
    </row>
    <row r="14" spans="1:18" ht="15" customHeight="1">
      <c r="A14" s="345"/>
      <c r="B14" s="1161" t="s">
        <v>353</v>
      </c>
      <c r="C14" s="1162"/>
      <c r="D14" s="1163" t="s">
        <v>354</v>
      </c>
      <c r="E14" s="1164"/>
      <c r="F14" s="465" t="s">
        <v>338</v>
      </c>
      <c r="G14" s="470" t="s">
        <v>339</v>
      </c>
      <c r="H14" s="470" t="s">
        <v>340</v>
      </c>
      <c r="I14" s="470" t="s">
        <v>341</v>
      </c>
      <c r="J14" s="470" t="s">
        <v>342</v>
      </c>
      <c r="K14" s="470" t="s">
        <v>343</v>
      </c>
      <c r="L14" s="470" t="s">
        <v>344</v>
      </c>
      <c r="M14" s="470" t="s">
        <v>345</v>
      </c>
      <c r="N14" s="470" t="s">
        <v>346</v>
      </c>
      <c r="O14" s="470" t="s">
        <v>347</v>
      </c>
      <c r="P14" s="470" t="s">
        <v>348</v>
      </c>
      <c r="Q14" s="454" t="s">
        <v>349</v>
      </c>
      <c r="R14" s="346" t="s">
        <v>616</v>
      </c>
    </row>
    <row r="15" spans="1:18" ht="15" customHeight="1">
      <c r="A15" s="1178" t="s">
        <v>158</v>
      </c>
      <c r="B15" s="589" t="s">
        <v>365</v>
      </c>
      <c r="C15" s="475">
        <v>1</v>
      </c>
      <c r="D15" s="1143" t="e">
        <f>R15/8</f>
        <v>#REF!</v>
      </c>
      <c r="E15" s="1144"/>
      <c r="F15" s="466" t="e">
        <f aca="true" t="shared" si="9" ref="F15:Q15">(F9*$C15)</f>
        <v>#REF!</v>
      </c>
      <c r="G15" s="471" t="e">
        <f t="shared" si="9"/>
        <v>#REF!</v>
      </c>
      <c r="H15" s="471" t="e">
        <f t="shared" si="9"/>
        <v>#REF!</v>
      </c>
      <c r="I15" s="471" t="e">
        <f t="shared" si="9"/>
        <v>#REF!</v>
      </c>
      <c r="J15" s="471" t="e">
        <f t="shared" si="9"/>
        <v>#REF!</v>
      </c>
      <c r="K15" s="471" t="e">
        <f t="shared" si="9"/>
        <v>#REF!</v>
      </c>
      <c r="L15" s="471" t="e">
        <f t="shared" si="9"/>
        <v>#REF!</v>
      </c>
      <c r="M15" s="471" t="e">
        <f t="shared" si="9"/>
        <v>#REF!</v>
      </c>
      <c r="N15" s="471" t="e">
        <f t="shared" si="9"/>
        <v>#REF!</v>
      </c>
      <c r="O15" s="471" t="e">
        <f t="shared" si="9"/>
        <v>#REF!</v>
      </c>
      <c r="P15" s="471" t="e">
        <f t="shared" si="9"/>
        <v>#REF!</v>
      </c>
      <c r="Q15" s="431" t="e">
        <f t="shared" si="9"/>
        <v>#REF!</v>
      </c>
      <c r="R15" s="431" t="e">
        <f aca="true" t="shared" si="10" ref="R15:R23">SUM(F15:Q15)</f>
        <v>#REF!</v>
      </c>
    </row>
    <row r="16" spans="1:18" ht="15" customHeight="1">
      <c r="A16" s="1179"/>
      <c r="B16" s="590"/>
      <c r="C16" s="476"/>
      <c r="D16" s="1135">
        <f>IF($C16="","",R16/8)</f>
      </c>
      <c r="E16" s="1136"/>
      <c r="F16" s="467">
        <f>IF($C16="","",F9*$C16)</f>
      </c>
      <c r="G16" s="472">
        <f aca="true" t="shared" si="11" ref="G16:Q16">IF($C16="","",G9*$C16)</f>
      </c>
      <c r="H16" s="472">
        <f t="shared" si="11"/>
      </c>
      <c r="I16" s="472">
        <f t="shared" si="11"/>
      </c>
      <c r="J16" s="472">
        <f t="shared" si="11"/>
      </c>
      <c r="K16" s="472">
        <f t="shared" si="11"/>
      </c>
      <c r="L16" s="472">
        <f t="shared" si="11"/>
      </c>
      <c r="M16" s="472">
        <f t="shared" si="11"/>
      </c>
      <c r="N16" s="472">
        <f t="shared" si="11"/>
      </c>
      <c r="O16" s="472">
        <f t="shared" si="11"/>
      </c>
      <c r="P16" s="472">
        <f t="shared" si="11"/>
      </c>
      <c r="Q16" s="464">
        <f t="shared" si="11"/>
      </c>
      <c r="R16" s="464">
        <f>IF($C16="","",SUM(F16:Q16))</f>
      </c>
    </row>
    <row r="17" spans="1:18" ht="15" customHeight="1">
      <c r="A17" s="1179"/>
      <c r="B17" s="590"/>
      <c r="C17" s="476"/>
      <c r="D17" s="1135">
        <f>IF($C17="","",R17/8)</f>
      </c>
      <c r="E17" s="1136"/>
      <c r="F17" s="467">
        <f aca="true" t="shared" si="12" ref="F17:Q17">IF($C17="","",F10*$C17)</f>
      </c>
      <c r="G17" s="472">
        <f t="shared" si="12"/>
      </c>
      <c r="H17" s="472">
        <f t="shared" si="12"/>
      </c>
      <c r="I17" s="472">
        <f t="shared" si="12"/>
      </c>
      <c r="J17" s="472">
        <f t="shared" si="12"/>
      </c>
      <c r="K17" s="472">
        <f t="shared" si="12"/>
      </c>
      <c r="L17" s="472">
        <f t="shared" si="12"/>
      </c>
      <c r="M17" s="472">
        <f t="shared" si="12"/>
      </c>
      <c r="N17" s="472">
        <f t="shared" si="12"/>
      </c>
      <c r="O17" s="472">
        <f t="shared" si="12"/>
      </c>
      <c r="P17" s="472">
        <f t="shared" si="12"/>
      </c>
      <c r="Q17" s="464">
        <f t="shared" si="12"/>
      </c>
      <c r="R17" s="464">
        <f>IF($C17="","",SUM(F17:Q17))</f>
      </c>
    </row>
    <row r="18" spans="1:18" ht="15" customHeight="1">
      <c r="A18" s="1179"/>
      <c r="B18" s="591"/>
      <c r="C18" s="477"/>
      <c r="D18" s="1139">
        <f>IF($C18="","",R18/8)</f>
      </c>
      <c r="E18" s="1140"/>
      <c r="F18" s="468">
        <f aca="true" t="shared" si="13" ref="F18:Q18">IF($C18="","",F11*$C18)</f>
      </c>
      <c r="G18" s="473">
        <f t="shared" si="13"/>
      </c>
      <c r="H18" s="473">
        <f t="shared" si="13"/>
      </c>
      <c r="I18" s="473">
        <f t="shared" si="13"/>
      </c>
      <c r="J18" s="473">
        <f t="shared" si="13"/>
      </c>
      <c r="K18" s="473">
        <f t="shared" si="13"/>
      </c>
      <c r="L18" s="473">
        <f t="shared" si="13"/>
      </c>
      <c r="M18" s="473">
        <f t="shared" si="13"/>
      </c>
      <c r="N18" s="473">
        <f t="shared" si="13"/>
      </c>
      <c r="O18" s="473">
        <f t="shared" si="13"/>
      </c>
      <c r="P18" s="473">
        <f t="shared" si="13"/>
      </c>
      <c r="Q18" s="348">
        <f t="shared" si="13"/>
      </c>
      <c r="R18" s="348">
        <f>IF($C18="","",SUM(F18:Q18))</f>
      </c>
    </row>
    <row r="19" spans="1:18" ht="15" customHeight="1">
      <c r="A19" s="1180"/>
      <c r="B19" s="1183" t="s">
        <v>350</v>
      </c>
      <c r="C19" s="1184"/>
      <c r="D19" s="1139" t="e">
        <f>SUM(D15:E18)</f>
        <v>#REF!</v>
      </c>
      <c r="E19" s="1140"/>
      <c r="F19" s="469" t="e">
        <f aca="true" t="shared" si="14" ref="F19:Q19">SUM(F15:F18)</f>
        <v>#REF!</v>
      </c>
      <c r="G19" s="474" t="e">
        <f t="shared" si="14"/>
        <v>#REF!</v>
      </c>
      <c r="H19" s="474" t="e">
        <f t="shared" si="14"/>
        <v>#REF!</v>
      </c>
      <c r="I19" s="474" t="e">
        <f t="shared" si="14"/>
        <v>#REF!</v>
      </c>
      <c r="J19" s="474" t="e">
        <f t="shared" si="14"/>
        <v>#REF!</v>
      </c>
      <c r="K19" s="474" t="e">
        <f t="shared" si="14"/>
        <v>#REF!</v>
      </c>
      <c r="L19" s="474" t="e">
        <f t="shared" si="14"/>
        <v>#REF!</v>
      </c>
      <c r="M19" s="474" t="e">
        <f t="shared" si="14"/>
        <v>#REF!</v>
      </c>
      <c r="N19" s="474" t="e">
        <f t="shared" si="14"/>
        <v>#REF!</v>
      </c>
      <c r="O19" s="474" t="e">
        <f t="shared" si="14"/>
        <v>#REF!</v>
      </c>
      <c r="P19" s="474" t="e">
        <f t="shared" si="14"/>
        <v>#REF!</v>
      </c>
      <c r="Q19" s="347" t="e">
        <f t="shared" si="14"/>
        <v>#REF!</v>
      </c>
      <c r="R19" s="347" t="e">
        <f t="shared" si="10"/>
        <v>#REF!</v>
      </c>
    </row>
    <row r="20" spans="1:18" ht="15" customHeight="1">
      <c r="A20" s="1178" t="s">
        <v>0</v>
      </c>
      <c r="B20" s="589" t="s">
        <v>365</v>
      </c>
      <c r="C20" s="475"/>
      <c r="D20" s="1143" t="e">
        <f>R20/8</f>
        <v>#REF!</v>
      </c>
      <c r="E20" s="1144"/>
      <c r="F20" s="456" t="e">
        <f>IF($C$23="",F10*$C$20,F9*$C$20)</f>
        <v>#REF!</v>
      </c>
      <c r="G20" s="457" t="e">
        <f aca="true" t="shared" si="15" ref="G20:Q20">IF($C$23="",G10*$C$20,G9*$C$20)</f>
        <v>#REF!</v>
      </c>
      <c r="H20" s="457" t="e">
        <f t="shared" si="15"/>
        <v>#REF!</v>
      </c>
      <c r="I20" s="457" t="e">
        <f t="shared" si="15"/>
        <v>#REF!</v>
      </c>
      <c r="J20" s="457" t="e">
        <f t="shared" si="15"/>
        <v>#REF!</v>
      </c>
      <c r="K20" s="457" t="e">
        <f t="shared" si="15"/>
        <v>#REF!</v>
      </c>
      <c r="L20" s="457" t="e">
        <f t="shared" si="15"/>
        <v>#REF!</v>
      </c>
      <c r="M20" s="457" t="e">
        <f t="shared" si="15"/>
        <v>#REF!</v>
      </c>
      <c r="N20" s="457" t="e">
        <f t="shared" si="15"/>
        <v>#REF!</v>
      </c>
      <c r="O20" s="457" t="e">
        <f t="shared" si="15"/>
        <v>#REF!</v>
      </c>
      <c r="P20" s="457" t="e">
        <f t="shared" si="15"/>
        <v>#REF!</v>
      </c>
      <c r="Q20" s="458" t="e">
        <f t="shared" si="15"/>
        <v>#REF!</v>
      </c>
      <c r="R20" s="431" t="e">
        <f t="shared" si="10"/>
        <v>#REF!</v>
      </c>
    </row>
    <row r="21" spans="1:18" ht="15" customHeight="1">
      <c r="A21" s="1179"/>
      <c r="B21" s="590"/>
      <c r="C21" s="476"/>
      <c r="D21" s="1135">
        <f>IF($C21="","",R21/8)</f>
      </c>
      <c r="E21" s="1136"/>
      <c r="F21" s="630">
        <f>IF($C21="","",IF($C$23="",F$10*$C$21,F9*$C$21))</f>
      </c>
      <c r="G21" s="472">
        <f aca="true" t="shared" si="16" ref="G21:Q21">IF($C21="","",IF($C$23="",G$10*$C$21,G9*$C$21))</f>
      </c>
      <c r="H21" s="472">
        <f t="shared" si="16"/>
      </c>
      <c r="I21" s="472">
        <f t="shared" si="16"/>
      </c>
      <c r="J21" s="472">
        <f t="shared" si="16"/>
      </c>
      <c r="K21" s="472">
        <f t="shared" si="16"/>
      </c>
      <c r="L21" s="472">
        <f t="shared" si="16"/>
      </c>
      <c r="M21" s="472">
        <f t="shared" si="16"/>
      </c>
      <c r="N21" s="472">
        <f t="shared" si="16"/>
      </c>
      <c r="O21" s="472">
        <f t="shared" si="16"/>
      </c>
      <c r="P21" s="472">
        <f t="shared" si="16"/>
      </c>
      <c r="Q21" s="631">
        <f t="shared" si="16"/>
      </c>
      <c r="R21" s="464">
        <f>IF($C21="","",SUM(F21:Q21))</f>
      </c>
    </row>
    <row r="22" spans="1:18" ht="15" customHeight="1">
      <c r="A22" s="1179"/>
      <c r="B22" s="590"/>
      <c r="C22" s="476"/>
      <c r="D22" s="1135">
        <f>IF($C22="","",R22/8)</f>
      </c>
      <c r="E22" s="1136"/>
      <c r="F22" s="630">
        <f>IF($C22="","",IF($C$23="",F$10*$C$22,F9*$C$22))</f>
      </c>
      <c r="G22" s="472">
        <f aca="true" t="shared" si="17" ref="G22:Q22">IF($C22="","",IF($C$23="",G$10*$C$22,G9*$C$22))</f>
      </c>
      <c r="H22" s="472">
        <f t="shared" si="17"/>
      </c>
      <c r="I22" s="472">
        <f t="shared" si="17"/>
      </c>
      <c r="J22" s="472">
        <f t="shared" si="17"/>
      </c>
      <c r="K22" s="472">
        <f t="shared" si="17"/>
      </c>
      <c r="L22" s="472">
        <f t="shared" si="17"/>
      </c>
      <c r="M22" s="472">
        <f t="shared" si="17"/>
      </c>
      <c r="N22" s="472">
        <f t="shared" si="17"/>
      </c>
      <c r="O22" s="472">
        <f t="shared" si="17"/>
      </c>
      <c r="P22" s="472">
        <f t="shared" si="17"/>
      </c>
      <c r="Q22" s="631">
        <f t="shared" si="17"/>
      </c>
      <c r="R22" s="464">
        <f>IF($C22="","",SUM(F22:Q22))</f>
      </c>
    </row>
    <row r="23" spans="1:18" ht="15" customHeight="1">
      <c r="A23" s="1179"/>
      <c r="B23" s="591" t="s">
        <v>366</v>
      </c>
      <c r="C23" s="477"/>
      <c r="D23" s="1185" t="e">
        <f>R23/8</f>
        <v>#REF!</v>
      </c>
      <c r="E23" s="1185"/>
      <c r="F23" s="632" t="e">
        <f aca="true" t="shared" si="18" ref="F23:Q23">(F9*$C$23)</f>
        <v>#REF!</v>
      </c>
      <c r="G23" s="633" t="e">
        <f t="shared" si="18"/>
        <v>#REF!</v>
      </c>
      <c r="H23" s="633" t="e">
        <f t="shared" si="18"/>
        <v>#REF!</v>
      </c>
      <c r="I23" s="633" t="e">
        <f t="shared" si="18"/>
        <v>#REF!</v>
      </c>
      <c r="J23" s="633" t="e">
        <f t="shared" si="18"/>
        <v>#REF!</v>
      </c>
      <c r="K23" s="633" t="e">
        <f>(K9*$C$23)</f>
        <v>#REF!</v>
      </c>
      <c r="L23" s="633" t="e">
        <f t="shared" si="18"/>
        <v>#REF!</v>
      </c>
      <c r="M23" s="633" t="e">
        <f t="shared" si="18"/>
        <v>#REF!</v>
      </c>
      <c r="N23" s="633" t="e">
        <f t="shared" si="18"/>
        <v>#REF!</v>
      </c>
      <c r="O23" s="633" t="e">
        <f t="shared" si="18"/>
        <v>#REF!</v>
      </c>
      <c r="P23" s="633" t="e">
        <f t="shared" si="18"/>
        <v>#REF!</v>
      </c>
      <c r="Q23" s="634" t="e">
        <f t="shared" si="18"/>
        <v>#REF!</v>
      </c>
      <c r="R23" s="348" t="e">
        <f t="shared" si="10"/>
        <v>#REF!</v>
      </c>
    </row>
    <row r="24" spans="1:18" ht="15" customHeight="1">
      <c r="A24" s="1180"/>
      <c r="B24" s="1181" t="s">
        <v>350</v>
      </c>
      <c r="C24" s="1182"/>
      <c r="D24" s="1139" t="e">
        <f>SUM(D20:E23)</f>
        <v>#REF!</v>
      </c>
      <c r="E24" s="1140"/>
      <c r="F24" s="468" t="e">
        <f aca="true" t="shared" si="19" ref="F24:Q24">F9</f>
        <v>#REF!</v>
      </c>
      <c r="G24" s="473" t="e">
        <f t="shared" si="19"/>
        <v>#REF!</v>
      </c>
      <c r="H24" s="473" t="e">
        <f t="shared" si="19"/>
        <v>#REF!</v>
      </c>
      <c r="I24" s="473" t="e">
        <f t="shared" si="19"/>
        <v>#REF!</v>
      </c>
      <c r="J24" s="473" t="e">
        <f t="shared" si="19"/>
        <v>#REF!</v>
      </c>
      <c r="K24" s="473" t="e">
        <f t="shared" si="19"/>
        <v>#REF!</v>
      </c>
      <c r="L24" s="473" t="e">
        <f t="shared" si="19"/>
        <v>#REF!</v>
      </c>
      <c r="M24" s="473" t="e">
        <f t="shared" si="19"/>
        <v>#REF!</v>
      </c>
      <c r="N24" s="473" t="e">
        <f t="shared" si="19"/>
        <v>#REF!</v>
      </c>
      <c r="O24" s="473" t="e">
        <f t="shared" si="19"/>
        <v>#REF!</v>
      </c>
      <c r="P24" s="473" t="e">
        <f t="shared" si="19"/>
        <v>#REF!</v>
      </c>
      <c r="Q24" s="348" t="e">
        <f t="shared" si="19"/>
        <v>#REF!</v>
      </c>
      <c r="R24" s="348" t="e">
        <f>SUM(R20:R23)</f>
        <v>#REF!</v>
      </c>
    </row>
    <row r="25" spans="4:5" ht="12">
      <c r="D25" s="1141"/>
      <c r="E25" s="1142"/>
    </row>
    <row r="26" spans="3:18" ht="18.75">
      <c r="C26" s="131" t="s">
        <v>156</v>
      </c>
      <c r="D26" s="19"/>
      <c r="E26" s="19"/>
      <c r="F26" s="19"/>
      <c r="G26" s="19"/>
      <c r="H26" s="19"/>
      <c r="I26" s="19"/>
      <c r="J26" s="19"/>
      <c r="K26" s="19"/>
      <c r="L26" s="19"/>
      <c r="M26" s="19"/>
      <c r="N26" s="19"/>
      <c r="O26" s="19"/>
      <c r="P26" s="19"/>
      <c r="Q26" s="19"/>
      <c r="R26" s="19"/>
    </row>
    <row r="27" spans="3:17" ht="12">
      <c r="C27" s="1148" t="s">
        <v>157</v>
      </c>
      <c r="D27" s="1149"/>
      <c r="E27" s="1150"/>
      <c r="F27" s="309" t="s">
        <v>21</v>
      </c>
      <c r="G27" s="310" t="s">
        <v>5</v>
      </c>
      <c r="H27" s="310" t="s">
        <v>6</v>
      </c>
      <c r="I27" s="310" t="s">
        <v>7</v>
      </c>
      <c r="J27" s="310" t="s">
        <v>8</v>
      </c>
      <c r="K27" s="310" t="s">
        <v>9</v>
      </c>
      <c r="L27" s="310" t="s">
        <v>10</v>
      </c>
      <c r="M27" s="310" t="s">
        <v>11</v>
      </c>
      <c r="N27" s="310" t="s">
        <v>12</v>
      </c>
      <c r="O27" s="310" t="s">
        <v>13</v>
      </c>
      <c r="P27" s="310" t="s">
        <v>14</v>
      </c>
      <c r="Q27" s="311" t="s">
        <v>15</v>
      </c>
    </row>
    <row r="28" spans="3:18" ht="14.25" customHeight="1">
      <c r="C28" s="1169">
        <f>'目標(耕種農家のみ)'!X5</f>
        <v>0</v>
      </c>
      <c r="D28" s="1170"/>
      <c r="E28" s="1171"/>
      <c r="F28" s="360" t="e">
        <f>VLOOKUP('目標(耕種農家のみ)'!$X$4,'労働資料(触らない)'!$D$136:$P$146,2,1)</f>
        <v>#N/A</v>
      </c>
      <c r="G28" s="361" t="e">
        <f>VLOOKUP('目標(耕種農家のみ)'!$X$4,'労働資料(触らない)'!$D$136:$P$146,3,1)</f>
        <v>#N/A</v>
      </c>
      <c r="H28" s="361" t="e">
        <f>VLOOKUP('目標(耕種農家のみ)'!$X$4,'労働資料(触らない)'!$D$136:$P$146,4,1)</f>
        <v>#N/A</v>
      </c>
      <c r="I28" s="361" t="e">
        <f>VLOOKUP('目標(耕種農家のみ)'!$X$4,'労働資料(触らない)'!$D$136:$P$146,5,1)</f>
        <v>#N/A</v>
      </c>
      <c r="J28" s="361" t="e">
        <f>VLOOKUP('目標(耕種農家のみ)'!$X$4,'労働資料(触らない)'!$D$136:$P$146,6,1)</f>
        <v>#N/A</v>
      </c>
      <c r="K28" s="361" t="e">
        <f>VLOOKUP('目標(耕種農家のみ)'!$X$4,'労働資料(触らない)'!$D$136:$P$146,7,1)</f>
        <v>#N/A</v>
      </c>
      <c r="L28" s="361" t="e">
        <f>VLOOKUP('目標(耕種農家のみ)'!$X$4,'労働資料(触らない)'!$D$136:$P$146,8,1)</f>
        <v>#N/A</v>
      </c>
      <c r="M28" s="361" t="e">
        <f>VLOOKUP('目標(耕種農家のみ)'!$X$4,'労働資料(触らない)'!$D$136:$P$146,9,1)</f>
        <v>#N/A</v>
      </c>
      <c r="N28" s="361" t="e">
        <f>VLOOKUP('目標(耕種農家のみ)'!$X$4,'労働資料(触らない)'!$D$136:$P$146,10,1)</f>
        <v>#N/A</v>
      </c>
      <c r="O28" s="361" t="e">
        <f>VLOOKUP('目標(耕種農家のみ)'!$X$4,'労働資料(触らない)'!$D$136:$P$146,11,1)</f>
        <v>#N/A</v>
      </c>
      <c r="P28" s="361" t="e">
        <f>VLOOKUP('目標(耕種農家のみ)'!$X$4,'労働資料(触らない)'!$D$136:$P$146,12,1)</f>
        <v>#N/A</v>
      </c>
      <c r="Q28" s="362" t="e">
        <f>VLOOKUP('目標(耕種農家のみ)'!$X$4,'労働資料(触らない)'!$D$136:$P$146,13,1)</f>
        <v>#N/A</v>
      </c>
      <c r="R28" s="36"/>
    </row>
    <row r="29" spans="3:18" ht="14.25" customHeight="1">
      <c r="C29" s="1145">
        <f>B4</f>
      </c>
      <c r="D29" s="1146"/>
      <c r="E29" s="1147"/>
      <c r="F29" s="363">
        <f>IF($B4="","",VLOOKUP('目標(耕種農家のみ)'!$AA$4,'労働資料(触らない)'!$D$136:$P$146,2,1))</f>
      </c>
      <c r="G29" s="364">
        <f>IF($B4="","",VLOOKUP('目標(耕種農家のみ)'!$AA$4,'労働資料(触らない)'!$D$136:$P$146,3,1))</f>
      </c>
      <c r="H29" s="364">
        <f>IF($B4="","",VLOOKUP('目標(耕種農家のみ)'!$AA$4,'労働資料(触らない)'!$D$136:$P$146,4,1))</f>
      </c>
      <c r="I29" s="364">
        <f>IF($B4="","",VLOOKUP('目標(耕種農家のみ)'!$AA$4,'労働資料(触らない)'!$D$136:$P$146,5,1))</f>
      </c>
      <c r="J29" s="364">
        <f>IF($B4="","",VLOOKUP('目標(耕種農家のみ)'!$AA$4,'労働資料(触らない)'!$D$136:$P$146,6,1))</f>
      </c>
      <c r="K29" s="364">
        <f>IF($B4="","",VLOOKUP('目標(耕種農家のみ)'!$AA$4,'労働資料(触らない)'!$D$136:$P$146,7,1))</f>
      </c>
      <c r="L29" s="364">
        <f>IF($B4="","",VLOOKUP('目標(耕種農家のみ)'!$AA$4,'労働資料(触らない)'!$D$136:$P$146,8,1))</f>
      </c>
      <c r="M29" s="364">
        <f>IF($B4="","",VLOOKUP('目標(耕種農家のみ)'!$AA$4,'労働資料(触らない)'!$D$136:$P$146,9,1))</f>
      </c>
      <c r="N29" s="364">
        <f>IF($B4="","",VLOOKUP('目標(耕種農家のみ)'!$AA$4,'労働資料(触らない)'!$D$136:$P$146,10,1))</f>
      </c>
      <c r="O29" s="364">
        <f>IF($B4="","",VLOOKUP('目標(耕種農家のみ)'!$AA$4,'労働資料(触らない)'!$D$136:$P$146,11,1))</f>
      </c>
      <c r="P29" s="364">
        <f>IF($B4="","",VLOOKUP('目標(耕種農家のみ)'!$AA$4,'労働資料(触らない)'!$D$136:$P$146,12,1))</f>
      </c>
      <c r="Q29" s="365">
        <f>IF($B4="","",VLOOKUP('目標(耕種農家のみ)'!$AA$4,'労働資料(触らない)'!$D$136:$P$146,13,1))</f>
      </c>
      <c r="R29" s="36"/>
    </row>
    <row r="30" spans="3:18" ht="14.25" customHeight="1">
      <c r="C30" s="1145">
        <f>B5</f>
      </c>
      <c r="D30" s="1146"/>
      <c r="E30" s="1147"/>
      <c r="F30" s="363">
        <f>IF($B5="","",VLOOKUP('目標(耕種農家のみ)'!$AD$4,'労働資料(触らない)'!$D$136:$P$146,2,1))</f>
      </c>
      <c r="G30" s="364">
        <f>IF($B5="","",VLOOKUP('目標(耕種農家のみ)'!$AD$4,'労働資料(触らない)'!$D$136:$P$146,3,1))</f>
      </c>
      <c r="H30" s="364">
        <f>IF($B5="","",VLOOKUP('目標(耕種農家のみ)'!$AD$4,'労働資料(触らない)'!$D$136:$P$146,4,1))</f>
      </c>
      <c r="I30" s="364">
        <f>IF($B5="","",VLOOKUP('目標(耕種農家のみ)'!$AD$4,'労働資料(触らない)'!$D$136:$P$146,5,1))</f>
      </c>
      <c r="J30" s="364">
        <f>IF($B5="","",VLOOKUP('目標(耕種農家のみ)'!$AD$4,'労働資料(触らない)'!$D$136:$P$146,6,1))</f>
      </c>
      <c r="K30" s="364">
        <f>IF($B5="","",VLOOKUP('目標(耕種農家のみ)'!$AD$4,'労働資料(触らない)'!$D$136:$P$146,7,1))</f>
      </c>
      <c r="L30" s="364">
        <f>IF($B5="","",VLOOKUP('目標(耕種農家のみ)'!$AD$4,'労働資料(触らない)'!$D$136:$P$146,8,1))</f>
      </c>
      <c r="M30" s="364">
        <f>IF($B5="","",VLOOKUP('目標(耕種農家のみ)'!$AD$4,'労働資料(触らない)'!$D$136:$P$146,9,1))</f>
      </c>
      <c r="N30" s="364">
        <f>IF($B5="","",VLOOKUP('目標(耕種農家のみ)'!$AD$4,'労働資料(触らない)'!$D$136:$P$146,10,1))</f>
      </c>
      <c r="O30" s="364">
        <f>IF($B5="","",VLOOKUP('目標(耕種農家のみ)'!$AD$4,'労働資料(触らない)'!$D$136:$P$146,11,1))</f>
      </c>
      <c r="P30" s="364">
        <f>IF($B5="","",VLOOKUP('目標(耕種農家のみ)'!$AD$4,'労働資料(触らない)'!$D$136:$P$146,12,1))</f>
      </c>
      <c r="Q30" s="365">
        <f>IF($B5="","",VLOOKUP('目標(耕種農家のみ)'!$AD$4,'労働資料(触らない)'!$D$136:$P$146,13,1))</f>
      </c>
      <c r="R30" s="36"/>
    </row>
    <row r="31" spans="3:18" ht="14.25" customHeight="1">
      <c r="C31" s="1145">
        <f>B6</f>
      </c>
      <c r="D31" s="1146"/>
      <c r="E31" s="1147"/>
      <c r="F31" s="363">
        <f>IF($B6="","",VLOOKUP('目標(耕種農家のみ)'!$AG$4,'労働資料(触らない)'!$D$136:$P$146,2,1))</f>
      </c>
      <c r="G31" s="364">
        <f>IF($B6="","",VLOOKUP('目標(耕種農家のみ)'!$AG$4,'労働資料(触らない)'!$D$136:$P$146,3,1))</f>
      </c>
      <c r="H31" s="364">
        <f>IF($B6="","",VLOOKUP('目標(耕種農家のみ)'!$AG$4,'労働資料(触らない)'!$D$136:$P$146,4,1))</f>
      </c>
      <c r="I31" s="364">
        <f>IF($B6="","",VLOOKUP('目標(耕種農家のみ)'!$AG$4,'労働資料(触らない)'!$D$136:$P$146,5,1))</f>
      </c>
      <c r="J31" s="364">
        <f>IF($B6="","",VLOOKUP('目標(耕種農家のみ)'!$AG$4,'労働資料(触らない)'!$D$136:$P$146,6,1))</f>
      </c>
      <c r="K31" s="364">
        <f>IF($B6="","",VLOOKUP('目標(耕種農家のみ)'!$AG$4,'労働資料(触らない)'!$D$136:$P$146,7,1))</f>
      </c>
      <c r="L31" s="364">
        <f>IF($B6="","",VLOOKUP('目標(耕種農家のみ)'!$AG$4,'労働資料(触らない)'!$D$136:$P$146,8,1))</f>
      </c>
      <c r="M31" s="364">
        <f>IF($B6="","",VLOOKUP('目標(耕種農家のみ)'!$AG$4,'労働資料(触らない)'!$D$136:$P$146,9,1))</f>
      </c>
      <c r="N31" s="364">
        <f>IF($B6="","",VLOOKUP('目標(耕種農家のみ)'!$AG$4,'労働資料(触らない)'!$D$136:$P$146,10,1))</f>
      </c>
      <c r="O31" s="364">
        <f>IF($B6="","",VLOOKUP('目標(耕種農家のみ)'!$AG$4,'労働資料(触らない)'!$D$136:$P$146,11,1))</f>
      </c>
      <c r="P31" s="364">
        <f>IF($B6="","",VLOOKUP('目標(耕種農家のみ)'!$AG$4,'労働資料(触らない)'!$D$136:$P$146,12,1))</f>
      </c>
      <c r="Q31" s="365">
        <f>IF($B6="","",VLOOKUP('目標(耕種農家のみ)'!$AG$4,'労働資料(触らない)'!$D$136:$P$146,13,1))</f>
      </c>
      <c r="R31" s="36"/>
    </row>
    <row r="32" spans="3:18" ht="14.25" customHeight="1">
      <c r="C32" s="1145">
        <f>B7</f>
      </c>
      <c r="D32" s="1146"/>
      <c r="E32" s="1147"/>
      <c r="F32" s="363">
        <f>IF($B7="","",VLOOKUP('目標(耕種農家のみ)'!$AJ$4,'労働資料(触らない)'!$D$136:$P$146,2,1))</f>
      </c>
      <c r="G32" s="364">
        <f>IF($B7="","",VLOOKUP('目標(耕種農家のみ)'!$AJ$4,'労働資料(触らない)'!$D$136:$P$146,3,1))</f>
      </c>
      <c r="H32" s="364">
        <f>IF($B7="","",VLOOKUP('目標(耕種農家のみ)'!$AJ$4,'労働資料(触らない)'!$D$136:$P$146,4,1))</f>
      </c>
      <c r="I32" s="364">
        <f>IF($B7="","",VLOOKUP('目標(耕種農家のみ)'!$AJ$4,'労働資料(触らない)'!$D$136:$P$146,5,1))</f>
      </c>
      <c r="J32" s="364">
        <f>IF($B7="","",VLOOKUP('目標(耕種農家のみ)'!$AJ$4,'労働資料(触らない)'!$D$136:$P$146,6,1))</f>
      </c>
      <c r="K32" s="364">
        <f>IF($B7="","",VLOOKUP('目標(耕種農家のみ)'!$AJ$4,'労働資料(触らない)'!$D$136:$P$146,7,1))</f>
      </c>
      <c r="L32" s="364">
        <f>IF($B7="","",VLOOKUP('目標(耕種農家のみ)'!$AJ$4,'労働資料(触らない)'!$D$136:$P$146,8,1))</f>
      </c>
      <c r="M32" s="364">
        <f>IF($B7="","",VLOOKUP('目標(耕種農家のみ)'!$AJ$4,'労働資料(触らない)'!$D$136:$P$146,9,1))</f>
      </c>
      <c r="N32" s="364">
        <f>IF($B7="","",VLOOKUP('目標(耕種農家のみ)'!$AJ$4,'労働資料(触らない)'!$D$136:$P$146,10,1))</f>
      </c>
      <c r="O32" s="364">
        <f>IF($B7="","",VLOOKUP('目標(耕種農家のみ)'!$AJ$4,'労働資料(触らない)'!$D$136:$P$146,11,1))</f>
      </c>
      <c r="P32" s="364">
        <f>IF($B7="","",VLOOKUP('目標(耕種農家のみ)'!$AJ$4,'労働資料(触らない)'!$D$136:$P$146,12,1))</f>
      </c>
      <c r="Q32" s="365">
        <f>IF($B7="","",VLOOKUP('目標(耕種農家のみ)'!$AJ$4,'労働資料(触らない)'!$D$136:$P$146,13,1))</f>
      </c>
      <c r="R32" s="36"/>
    </row>
    <row r="33" spans="3:18" ht="14.25" customHeight="1">
      <c r="C33" s="1156">
        <f>B8</f>
      </c>
      <c r="D33" s="1157"/>
      <c r="E33" s="1158"/>
      <c r="F33" s="366">
        <f>IF($B8="","",VLOOKUP('目標(耕種農家のみ)'!$AM$4,'労働資料(触らない)'!$D$136:$P$146,2,1))</f>
      </c>
      <c r="G33" s="367">
        <f>IF($B8="","",VLOOKUP('目標(耕種農家のみ)'!$AM$4,'労働資料(触らない)'!$D$136:$P$146,3,1))</f>
      </c>
      <c r="H33" s="367">
        <f>IF($B8="","",VLOOKUP('目標(耕種農家のみ)'!$AM$4,'労働資料(触らない)'!$D$136:$P$146,4,1))</f>
      </c>
      <c r="I33" s="367">
        <f>IF($B8="","",VLOOKUP('目標(耕種農家のみ)'!$AM$4,'労働資料(触らない)'!$D$136:$P$146,5,1))</f>
      </c>
      <c r="J33" s="367">
        <f>IF($B8="","",VLOOKUP('目標(耕種農家のみ)'!$AM$4,'労働資料(触らない)'!$D$136:$P$146,6,1))</f>
      </c>
      <c r="K33" s="367">
        <f>IF($B8="","",VLOOKUP('目標(耕種農家のみ)'!$AM$4,'労働資料(触らない)'!$D$136:$P$146,7,1))</f>
      </c>
      <c r="L33" s="367">
        <f>IF($B8="","",VLOOKUP('目標(耕種農家のみ)'!$AM$4,'労働資料(触らない)'!$D$136:$P$146,8,1))</f>
      </c>
      <c r="M33" s="367">
        <f>IF($B8="","",VLOOKUP('目標(耕種農家のみ)'!$AM$4,'労働資料(触らない)'!$D$136:$P$146,9,1))</f>
      </c>
      <c r="N33" s="367">
        <f>IF($B8="","",VLOOKUP('目標(耕種農家のみ)'!$AM$4,'労働資料(触らない)'!$D$136:$P$146,10,1))</f>
      </c>
      <c r="O33" s="367">
        <f>IF($B8="","",VLOOKUP('目標(耕種農家のみ)'!$AM$4,'労働資料(触らない)'!$D$136:$P$146,11,1))</f>
      </c>
      <c r="P33" s="367">
        <f>IF($B8="","",VLOOKUP('目標(耕種農家のみ)'!$AM$4,'労働資料(触らない)'!$D$136:$P$146,12,1))</f>
      </c>
      <c r="Q33" s="368">
        <f>IF($B8="","",VLOOKUP('目標(耕種農家のみ)'!$AM$4,'労働資料(触らない)'!$D$136:$P$146,13,1))</f>
      </c>
      <c r="R33" s="36"/>
    </row>
    <row r="34" spans="3:18" ht="12.75">
      <c r="C34" s="56"/>
      <c r="D34" s="56"/>
      <c r="E34" s="56"/>
      <c r="F34" s="55"/>
      <c r="G34" s="55"/>
      <c r="H34" s="55"/>
      <c r="I34" s="55"/>
      <c r="J34" s="55"/>
      <c r="K34" s="55"/>
      <c r="L34" s="55"/>
      <c r="M34" s="55"/>
      <c r="N34" s="55"/>
      <c r="O34" s="55"/>
      <c r="P34" s="55"/>
      <c r="Q34" s="55"/>
      <c r="R34" s="21"/>
    </row>
    <row r="35" spans="7:13" ht="12">
      <c r="G35" s="51"/>
      <c r="H35" s="51"/>
      <c r="I35" s="51"/>
      <c r="J35" s="51"/>
      <c r="K35" s="51"/>
      <c r="L35" s="51"/>
      <c r="M35" s="51"/>
    </row>
  </sheetData>
  <sheetProtection/>
  <mergeCells count="36">
    <mergeCell ref="A3:A11"/>
    <mergeCell ref="B3:C3"/>
    <mergeCell ref="A15:A19"/>
    <mergeCell ref="A20:A24"/>
    <mergeCell ref="D15:E15"/>
    <mergeCell ref="B24:C24"/>
    <mergeCell ref="D16:E16"/>
    <mergeCell ref="B19:C19"/>
    <mergeCell ref="D24:E24"/>
    <mergeCell ref="D23:E23"/>
    <mergeCell ref="C33:E33"/>
    <mergeCell ref="B8:C8"/>
    <mergeCell ref="C32:E32"/>
    <mergeCell ref="B14:C14"/>
    <mergeCell ref="D14:E14"/>
    <mergeCell ref="D21:E21"/>
    <mergeCell ref="B11:E11"/>
    <mergeCell ref="B10:E10"/>
    <mergeCell ref="C28:E28"/>
    <mergeCell ref="D22:E22"/>
    <mergeCell ref="B2:C2"/>
    <mergeCell ref="D2:E2"/>
    <mergeCell ref="B7:C7"/>
    <mergeCell ref="B5:C5"/>
    <mergeCell ref="B4:C4"/>
    <mergeCell ref="B9:C9"/>
    <mergeCell ref="D17:E17"/>
    <mergeCell ref="B6:C6"/>
    <mergeCell ref="D18:E18"/>
    <mergeCell ref="D25:E25"/>
    <mergeCell ref="D20:E20"/>
    <mergeCell ref="C31:E31"/>
    <mergeCell ref="C27:E27"/>
    <mergeCell ref="D19:E19"/>
    <mergeCell ref="C30:E30"/>
    <mergeCell ref="C29:E29"/>
  </mergeCells>
  <printOptions/>
  <pageMargins left="0.7874015748031497" right="0.2755905511811024" top="1.1023622047244095" bottom="0.5511811023622047" header="0.35433070866141736" footer="0.15748031496062992"/>
  <pageSetup fitToHeight="1" fitToWidth="1" horizontalDpi="300" verticalDpi="300" orientation="landscape" paperSize="9" scale="99" r:id="rId1"/>
  <ignoredErrors>
    <ignoredError sqref="D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農政経済課7</dc:creator>
  <cp:keywords/>
  <dc:description/>
  <cp:lastModifiedBy>Isglg248</cp:lastModifiedBy>
  <cp:lastPrinted>2020-06-18T05:17:02Z</cp:lastPrinted>
  <dcterms:created xsi:type="dcterms:W3CDTF">2000-09-22T05:04:20Z</dcterms:created>
  <dcterms:modified xsi:type="dcterms:W3CDTF">2023-04-13T06:35:04Z</dcterms:modified>
  <cp:category/>
  <cp:version/>
  <cp:contentType/>
  <cp:contentStatus/>
</cp:coreProperties>
</file>