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20" tabRatio="863" firstSheet="1" activeTab="1"/>
  </bookViews>
  <sheets>
    <sheet name="000000" sheetId="1" state="veryHidden" r:id="rId1"/>
    <sheet name="1" sheetId="2" r:id="rId2"/>
    <sheet name="2" sheetId="3" r:id="rId3"/>
    <sheet name="3" sheetId="4" r:id="rId4"/>
    <sheet name="4" sheetId="5" r:id="rId5"/>
    <sheet name="目標" sheetId="6" r:id="rId6"/>
    <sheet name="労働時間" sheetId="7" r:id="rId7"/>
    <sheet name="経営指標" sheetId="8" r:id="rId8"/>
    <sheet name="労働資料" sheetId="9" r:id="rId9"/>
    <sheet name="肉用牛繁殖" sheetId="10" r:id="rId10"/>
    <sheet name="肉用牛肥育" sheetId="11" r:id="rId11"/>
  </sheets>
  <definedNames>
    <definedName name="作目">'経営指標'!$D$1:$M$1</definedName>
  </definedNames>
  <calcPr fullCalcOnLoad="1"/>
</workbook>
</file>

<file path=xl/comments10.xml><?xml version="1.0" encoding="utf-8"?>
<comments xmlns="http://schemas.openxmlformats.org/spreadsheetml/2006/main">
  <authors>
    <author>農政経済課7</author>
  </authors>
  <commentList>
    <comment ref="D9" authorId="0">
      <text>
        <r>
          <rPr>
            <b/>
            <sz val="14"/>
            <rFont val="ＭＳ Ｐゴシック"/>
            <family val="3"/>
          </rPr>
          <t>生産率80～92％</t>
        </r>
      </text>
    </comment>
    <comment ref="D10" authorId="0">
      <text>
        <r>
          <rPr>
            <b/>
            <sz val="12"/>
            <rFont val="ＭＳ Ｐゴシック"/>
            <family val="3"/>
          </rPr>
          <t>事故率２～５％</t>
        </r>
      </text>
    </comment>
  </commentList>
</comments>
</file>

<file path=xl/sharedStrings.xml><?xml version="1.0" encoding="utf-8"?>
<sst xmlns="http://schemas.openxmlformats.org/spreadsheetml/2006/main" count="1533" uniqueCount="758">
  <si>
    <t>目標</t>
  </si>
  <si>
    <t>ａ</t>
  </si>
  <si>
    <t>月</t>
  </si>
  <si>
    <t>現状</t>
  </si>
  <si>
    <t>見通し</t>
  </si>
  <si>
    <t>頭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</si>
  <si>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</si>
  <si>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</si>
  <si>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</si>
  <si>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</si>
  <si>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</si>
  <si>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</si>
  <si>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</si>
  <si>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</si>
  <si>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</si>
  <si>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</si>
  <si>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</si>
  <si>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経営改善計画　添付書類（繁殖牛）</t>
  </si>
  <si>
    <t>1　月別労働時間</t>
  </si>
  <si>
    <t>目標常時飼養頭数</t>
  </si>
  <si>
    <t>頭数</t>
  </si>
  <si>
    <t>備考</t>
  </si>
  <si>
    <t>畜種</t>
  </si>
  <si>
    <t>繁殖牛頭数</t>
  </si>
  <si>
    <t>1月</t>
  </si>
  <si>
    <t>合計</t>
  </si>
  <si>
    <t>繁殖牛</t>
  </si>
  <si>
    <t>繁殖雌牛</t>
  </si>
  <si>
    <t>　①経産牛</t>
  </si>
  <si>
    <t>　②未経産牛</t>
  </si>
  <si>
    <t>育成牛</t>
  </si>
  <si>
    <t>子牛</t>
  </si>
  <si>
    <t>家族労働</t>
  </si>
  <si>
    <t>　年間繰り入れ頭数</t>
  </si>
  <si>
    <t>雇用労働</t>
  </si>
  <si>
    <t>　年間出荷頭数</t>
  </si>
  <si>
    <t>常時飼養頭数合計</t>
  </si>
  <si>
    <t>※検算用　「0」になるように↓</t>
  </si>
  <si>
    <t>（単位：円）</t>
  </si>
  <si>
    <t>①－（②＋③）＝</t>
  </si>
  <si>
    <t>主な収益</t>
  </si>
  <si>
    <t>金額</t>
  </si>
  <si>
    <t>単価</t>
  </si>
  <si>
    <t>頭数（数量）</t>
  </si>
  <si>
    <t>家畜販売収入</t>
  </si>
  <si>
    <t>その他収入</t>
  </si>
  <si>
    <t>　①たい肥</t>
  </si>
  <si>
    <t>2　家族（外）労働時間</t>
  </si>
  <si>
    <t>　②適正出荷奨励金</t>
  </si>
  <si>
    <t>　③共済金</t>
  </si>
  <si>
    <t>構成員</t>
  </si>
  <si>
    <t>年間就農日</t>
  </si>
  <si>
    <t>合計(時間）</t>
  </si>
  <si>
    <t>　④その他</t>
  </si>
  <si>
    <t>家族労働者</t>
  </si>
  <si>
    <t>収入計（A）</t>
  </si>
  <si>
    <t>主な支出</t>
  </si>
  <si>
    <t>生産費用</t>
  </si>
  <si>
    <t>種付け料</t>
  </si>
  <si>
    <t>小計</t>
  </si>
  <si>
    <t>飼料費</t>
  </si>
  <si>
    <t>家族外労働者</t>
  </si>
  <si>
    <t>　①購入飼料費</t>
  </si>
  <si>
    <t>　②自給飼料資材費</t>
  </si>
  <si>
    <t>家族外労働費</t>
  </si>
  <si>
    <t>（注）労働時間の項目から自動反映</t>
  </si>
  <si>
    <t>診療・医薬品費</t>
  </si>
  <si>
    <t>水道光熱費</t>
  </si>
  <si>
    <t>燃料費</t>
  </si>
  <si>
    <t>減価償却費</t>
  </si>
  <si>
    <t>修繕費</t>
  </si>
  <si>
    <t>小農具費</t>
  </si>
  <si>
    <t>消耗諸材料費</t>
  </si>
  <si>
    <t>子牛登録料</t>
  </si>
  <si>
    <t>基本登録料</t>
  </si>
  <si>
    <t>育成牛年間繰り入れ頭数</t>
  </si>
  <si>
    <t>削蹄料</t>
  </si>
  <si>
    <t>もと畜費</t>
  </si>
  <si>
    <t>賃料</t>
  </si>
  <si>
    <t>生産費用合計</t>
  </si>
  <si>
    <t>期中成牛振替額</t>
  </si>
  <si>
    <t>売上原価①</t>
  </si>
  <si>
    <t>販売・一般管理費</t>
  </si>
  <si>
    <t>販売経費</t>
  </si>
  <si>
    <t>　①市場手数料</t>
  </si>
  <si>
    <t>販売価格の2.1％</t>
  </si>
  <si>
    <t>　②市場上場料</t>
  </si>
  <si>
    <t>共済掛金</t>
  </si>
  <si>
    <t>税金</t>
  </si>
  <si>
    <t>　①自動車税・重量税</t>
  </si>
  <si>
    <t>　②固定資産税（建物）</t>
  </si>
  <si>
    <t>　③固定資産税（土地）</t>
  </si>
  <si>
    <t>小計②</t>
  </si>
  <si>
    <t>営業外費用</t>
  </si>
  <si>
    <t>経営安定対策積立金</t>
  </si>
  <si>
    <t>支払利息</t>
  </si>
  <si>
    <t>成牛処分損</t>
  </si>
  <si>
    <t>その他支出</t>
  </si>
  <si>
    <t>小計③</t>
  </si>
  <si>
    <t>支出計（B）</t>
  </si>
  <si>
    <t>所得（A-B）</t>
  </si>
  <si>
    <t>経営改善計画　添付書類（肥育牛）</t>
  </si>
  <si>
    <t>肥育牛頭数</t>
  </si>
  <si>
    <t>肥育牛</t>
  </si>
  <si>
    <t>　導入頭数</t>
  </si>
  <si>
    <t>（飼養頭数）×（365日／肥育期間570日）</t>
  </si>
  <si>
    <t>　出荷頭数</t>
  </si>
  <si>
    <t>飼養頭数合計</t>
  </si>
  <si>
    <t>①－（②＋③）＝</t>
  </si>
  <si>
    <t>　②共済金</t>
  </si>
  <si>
    <t>　③その他</t>
  </si>
  <si>
    <t>売上原価</t>
  </si>
  <si>
    <t>購入手数料</t>
  </si>
  <si>
    <t>もと畜費の１％</t>
  </si>
  <si>
    <t>敷料費</t>
  </si>
  <si>
    <t>家族外労働者を雇う場合のみ記入</t>
  </si>
  <si>
    <t>小計①</t>
  </si>
  <si>
    <t>　①と畜料</t>
  </si>
  <si>
    <t>　②輸送料</t>
  </si>
  <si>
    <t>　③販売手数料</t>
  </si>
  <si>
    <t>販売額の4.5％で算出</t>
  </si>
  <si>
    <t>その他</t>
  </si>
  <si>
    <t>支払い利息</t>
  </si>
  <si>
    <t>経営主</t>
  </si>
  <si>
    <t>畑</t>
  </si>
  <si>
    <t>石垣市</t>
  </si>
  <si>
    <t>農業経営の目標</t>
  </si>
  <si>
    <t>氏名</t>
  </si>
  <si>
    <t>目標の部　１０アール当収益性指標　入力表</t>
  </si>
  <si>
    <t>作物別収支明細</t>
  </si>
  <si>
    <t>収入総括表</t>
  </si>
  <si>
    <t>作物名</t>
  </si>
  <si>
    <t>作目</t>
  </si>
  <si>
    <t>作型</t>
  </si>
  <si>
    <t>栽培面積</t>
  </si>
  <si>
    <t>ａ</t>
  </si>
  <si>
    <t>１０ａ当収量</t>
  </si>
  <si>
    <t>出荷数量</t>
  </si>
  <si>
    <t>販売単価</t>
  </si>
  <si>
    <t>販売金額</t>
  </si>
  <si>
    <t>作物収入計（Ｃ）</t>
  </si>
  <si>
    <t>科目</t>
  </si>
  <si>
    <t>種苗費</t>
  </si>
  <si>
    <t>光熱動力費</t>
  </si>
  <si>
    <t>諸材料費</t>
  </si>
  <si>
    <t>水利費</t>
  </si>
  <si>
    <t>賃借料・料金</t>
  </si>
  <si>
    <t>減価償却</t>
  </si>
  <si>
    <t>減償（施建）</t>
  </si>
  <si>
    <t>減償（農具）</t>
  </si>
  <si>
    <t>減償（大植）</t>
  </si>
  <si>
    <t>償却資産修繕費</t>
  </si>
  <si>
    <t>畜力費</t>
  </si>
  <si>
    <t>雇用労賃</t>
  </si>
  <si>
    <t>内訳</t>
  </si>
  <si>
    <t>手数料料金</t>
  </si>
  <si>
    <t>配送運賃</t>
  </si>
  <si>
    <t>包装資材費</t>
  </si>
  <si>
    <t>経営費合計（Ｂ）</t>
  </si>
  <si>
    <t>労働時間の目標</t>
  </si>
  <si>
    <t>総労働時間</t>
  </si>
  <si>
    <t>１人当たり家族</t>
  </si>
  <si>
    <t>１０アール当労働時間　入力表</t>
  </si>
  <si>
    <t>品目</t>
  </si>
  <si>
    <t>現況</t>
  </si>
  <si>
    <t>耕種指標月別労働時間</t>
  </si>
  <si>
    <t>調査地</t>
  </si>
  <si>
    <t>指標面積</t>
  </si>
  <si>
    <t>モロヘイヤ</t>
  </si>
  <si>
    <t>名護市</t>
  </si>
  <si>
    <t>ａ</t>
  </si>
  <si>
    <t>モロヘイヤ</t>
  </si>
  <si>
    <t>糸満市</t>
  </si>
  <si>
    <t>ａ</t>
  </si>
  <si>
    <t>インゲン</t>
  </si>
  <si>
    <t>城辺町</t>
  </si>
  <si>
    <t>ａ</t>
  </si>
  <si>
    <t>わい性インゲン（施設）</t>
  </si>
  <si>
    <t>わい性インゲン（露地）</t>
  </si>
  <si>
    <t>わい性インゲン</t>
  </si>
  <si>
    <t>平良市</t>
  </si>
  <si>
    <t>オクラ</t>
  </si>
  <si>
    <t>カボチャ</t>
  </si>
  <si>
    <t>シシトウ</t>
  </si>
  <si>
    <t>スイカ（施設）</t>
  </si>
  <si>
    <t>スイカ：植替（施設）</t>
  </si>
  <si>
    <t>スイカ：後作（施設）</t>
  </si>
  <si>
    <t>スイートコーン</t>
  </si>
  <si>
    <t>トウガン</t>
  </si>
  <si>
    <t>施設ナス</t>
  </si>
  <si>
    <t>南風原町</t>
  </si>
  <si>
    <t>ニガウリ（施設）</t>
  </si>
  <si>
    <t>ニガウリ（露地）</t>
  </si>
  <si>
    <t>本部町</t>
  </si>
  <si>
    <t>パパイヤ（露地）</t>
  </si>
  <si>
    <t>下地町</t>
  </si>
  <si>
    <t>ピーマン（施設）</t>
  </si>
  <si>
    <t>具志頭村</t>
  </si>
  <si>
    <t>施設ヘチマ</t>
  </si>
  <si>
    <t>東風平町</t>
  </si>
  <si>
    <t>露地ヘチマ</t>
  </si>
  <si>
    <t>ミニトマト</t>
  </si>
  <si>
    <t>ａ</t>
  </si>
  <si>
    <t>メロン</t>
  </si>
  <si>
    <t>カンショ（紅イモ）</t>
  </si>
  <si>
    <t>サトイモ</t>
  </si>
  <si>
    <t>下地町（９/中）</t>
  </si>
  <si>
    <t>ａ</t>
  </si>
  <si>
    <t>サトイモ</t>
  </si>
  <si>
    <t>下地町（10/上）</t>
  </si>
  <si>
    <t>ダイコン</t>
  </si>
  <si>
    <t>タイモ</t>
  </si>
  <si>
    <t>金武町</t>
  </si>
  <si>
    <t>ニンジン</t>
  </si>
  <si>
    <t>勝連町</t>
  </si>
  <si>
    <t>ニンジン</t>
  </si>
  <si>
    <t>島ニンジン</t>
  </si>
  <si>
    <t>中城村</t>
  </si>
  <si>
    <t>バレイショ</t>
  </si>
  <si>
    <t>北大東村</t>
  </si>
  <si>
    <t>ａ</t>
  </si>
  <si>
    <t>アンスリウム</t>
  </si>
  <si>
    <t>大里村</t>
  </si>
  <si>
    <t>オンジューム</t>
  </si>
  <si>
    <t>クジャクアスター</t>
  </si>
  <si>
    <t>石川市</t>
  </si>
  <si>
    <t>クルクマ</t>
  </si>
  <si>
    <t>豊見城村</t>
  </si>
  <si>
    <t>ストレリチア</t>
  </si>
  <si>
    <t>ソリダゴ</t>
  </si>
  <si>
    <t>ソリダゴ</t>
  </si>
  <si>
    <t>電照小菊</t>
  </si>
  <si>
    <t>具志川市</t>
  </si>
  <si>
    <t>電照輪菊</t>
  </si>
  <si>
    <t>ａ</t>
  </si>
  <si>
    <t>デンファレ</t>
  </si>
  <si>
    <t>デンファレ（加温）</t>
  </si>
  <si>
    <t>ヘリコニア</t>
  </si>
  <si>
    <t>リアトリス</t>
  </si>
  <si>
    <t>具志川村</t>
  </si>
  <si>
    <t>ａ</t>
  </si>
  <si>
    <t>レッドジンジャー</t>
  </si>
  <si>
    <t>オオタニワタリ</t>
  </si>
  <si>
    <t>スマイラックス</t>
  </si>
  <si>
    <t>ドラセナ類</t>
  </si>
  <si>
    <t>ドラセナ（レインボー）</t>
  </si>
  <si>
    <t>沖縄市</t>
  </si>
  <si>
    <t>コンシンネ</t>
  </si>
  <si>
    <t>読谷村</t>
  </si>
  <si>
    <t>玉城村</t>
  </si>
  <si>
    <t>ブーゲンビレア（６号鉢）</t>
  </si>
  <si>
    <t>タンカン</t>
  </si>
  <si>
    <t>タンカン</t>
  </si>
  <si>
    <t>仲里村</t>
  </si>
  <si>
    <t>早生温州みかん</t>
  </si>
  <si>
    <t>マンゴー</t>
  </si>
  <si>
    <t>マンゴー</t>
  </si>
  <si>
    <t>上野村</t>
  </si>
  <si>
    <t>スモモ</t>
  </si>
  <si>
    <t>国頭村</t>
  </si>
  <si>
    <t>島バナナ</t>
  </si>
  <si>
    <t>シークワシャー</t>
  </si>
  <si>
    <t>大宜味村</t>
  </si>
  <si>
    <t>アセローラ（露地）</t>
  </si>
  <si>
    <t>カニステル（露地）</t>
  </si>
  <si>
    <t>本島南部</t>
  </si>
  <si>
    <t>ａ</t>
  </si>
  <si>
    <t>ゴレンシ</t>
  </si>
  <si>
    <t>パッションフルーツ（電照）</t>
  </si>
  <si>
    <t>パッションフルーツ（露地）</t>
  </si>
  <si>
    <t>佐敷町</t>
  </si>
  <si>
    <t>パッションフルーツ</t>
  </si>
  <si>
    <t>レイシ</t>
  </si>
  <si>
    <t>-</t>
  </si>
  <si>
    <t>ビワ</t>
  </si>
  <si>
    <t>アテモヤ</t>
  </si>
  <si>
    <t>知念村</t>
  </si>
  <si>
    <t>-</t>
  </si>
  <si>
    <t>サトウキビ　春植</t>
  </si>
  <si>
    <t>-</t>
  </si>
  <si>
    <t>サトウキビ　夏植</t>
  </si>
  <si>
    <t>サトウキビ　株出</t>
  </si>
  <si>
    <t>サトウキビ　夏植（本島）</t>
  </si>
  <si>
    <t>-</t>
  </si>
  <si>
    <t>サトウキビ　夏植（離島）</t>
  </si>
  <si>
    <t>-</t>
  </si>
  <si>
    <t>サトウキビ　春植（本島）</t>
  </si>
  <si>
    <t>サトウキビ　株出（本島）</t>
  </si>
  <si>
    <t>サトウキビ　春植（離島）</t>
  </si>
  <si>
    <t>南大東村</t>
  </si>
  <si>
    <t>サトウキビ　株出（離島）</t>
  </si>
  <si>
    <t>サトウキビ　夏植（機械）</t>
  </si>
  <si>
    <t>サトウキビ　夏植（委託）</t>
  </si>
  <si>
    <t>伊良部町</t>
  </si>
  <si>
    <t>ａ</t>
  </si>
  <si>
    <t>-</t>
  </si>
  <si>
    <t>水稲（１期作）</t>
  </si>
  <si>
    <t>恩納村</t>
  </si>
  <si>
    <t>イグサ</t>
  </si>
  <si>
    <t>与那城町</t>
  </si>
  <si>
    <t>ａ</t>
  </si>
  <si>
    <t>-</t>
  </si>
  <si>
    <t>落花生</t>
  </si>
  <si>
    <t>モチキビ</t>
  </si>
  <si>
    <t>パンゴラグラス（牧草）</t>
  </si>
  <si>
    <t>ガットンパニック（牧草）</t>
  </si>
  <si>
    <t>イグサ</t>
  </si>
  <si>
    <t>モチキビ</t>
  </si>
  <si>
    <t>モチキビ（慣行）</t>
  </si>
  <si>
    <t>粟国村</t>
  </si>
  <si>
    <t>モチキビ（新技術）</t>
  </si>
  <si>
    <t>モチキビ機械（慣行）</t>
  </si>
  <si>
    <t>モチキビ機械（新技術）</t>
  </si>
  <si>
    <t>タマネギ（慣行）</t>
  </si>
  <si>
    <t>タマネギ（新技術）</t>
  </si>
  <si>
    <t>タマネギ（慣行-改善）</t>
  </si>
  <si>
    <t>タマネギ（慣行-改善）新技術</t>
  </si>
  <si>
    <t>農（動）薬費</t>
  </si>
  <si>
    <t>区分</t>
  </si>
  <si>
    <t>%</t>
  </si>
  <si>
    <t>雇用者</t>
  </si>
  <si>
    <t>時間</t>
  </si>
  <si>
    <t>生産量</t>
  </si>
  <si>
    <t>地目</t>
  </si>
  <si>
    <t>所在地</t>
  </si>
  <si>
    <t>a</t>
  </si>
  <si>
    <t>特定作業受託</t>
  </si>
  <si>
    <t>作業</t>
  </si>
  <si>
    <t>作業受託面積</t>
  </si>
  <si>
    <t>作業受託</t>
  </si>
  <si>
    <t>機械・施設名</t>
  </si>
  <si>
    <t>年齢</t>
  </si>
  <si>
    <t>実人数</t>
  </si>
  <si>
    <t>延べ人数</t>
  </si>
  <si>
    <t>認定市町村名</t>
  </si>
  <si>
    <t>認定年月日</t>
  </si>
  <si>
    <t>内容</t>
  </si>
  <si>
    <t>担当業務</t>
  </si>
  <si>
    <t>kg</t>
  </si>
  <si>
    <t>パイン</t>
  </si>
  <si>
    <t>石垣市</t>
  </si>
  <si>
    <t>サトウキビ(夏植)</t>
  </si>
  <si>
    <t>月別労働時間</t>
  </si>
  <si>
    <t>サトウキビ(春植)</t>
  </si>
  <si>
    <t>サトウキビ(株出し)</t>
  </si>
  <si>
    <t>八重山</t>
  </si>
  <si>
    <t>南部.離島</t>
  </si>
  <si>
    <t>下記２つ平均</t>
  </si>
  <si>
    <t>H26.3品目別技術体系・収益性事例</t>
  </si>
  <si>
    <t>水稲(１期)</t>
  </si>
  <si>
    <t>中部</t>
  </si>
  <si>
    <r>
      <rPr>
        <sz val="11"/>
        <rFont val="ＭＳ Ｐ明朝"/>
        <family val="1"/>
      </rPr>
      <t>金額</t>
    </r>
  </si>
  <si>
    <r>
      <rPr>
        <sz val="10"/>
        <rFont val="ＭＳ Ｐ明朝"/>
        <family val="1"/>
      </rPr>
      <t>品目</t>
    </r>
  </si>
  <si>
    <r>
      <rPr>
        <sz val="10"/>
        <rFont val="ＭＳ Ｐ明朝"/>
        <family val="1"/>
      </rPr>
      <t>経営規模</t>
    </r>
  </si>
  <si>
    <r>
      <t>1</t>
    </r>
    <r>
      <rPr>
        <sz val="10"/>
        <rFont val="ＭＳ Ｐ明朝"/>
        <family val="1"/>
      </rPr>
      <t>月</t>
    </r>
  </si>
  <si>
    <r>
      <t>2</t>
    </r>
    <r>
      <rPr>
        <sz val="10"/>
        <rFont val="ＭＳ Ｐ明朝"/>
        <family val="1"/>
      </rPr>
      <t>月</t>
    </r>
  </si>
  <si>
    <r>
      <t>3</t>
    </r>
    <r>
      <rPr>
        <sz val="10"/>
        <rFont val="ＭＳ Ｐ明朝"/>
        <family val="1"/>
      </rPr>
      <t>月</t>
    </r>
  </si>
  <si>
    <r>
      <t>4</t>
    </r>
    <r>
      <rPr>
        <sz val="10"/>
        <rFont val="ＭＳ Ｐ明朝"/>
        <family val="1"/>
      </rPr>
      <t>月</t>
    </r>
  </si>
  <si>
    <r>
      <t>5</t>
    </r>
    <r>
      <rPr>
        <sz val="10"/>
        <rFont val="ＭＳ Ｐ明朝"/>
        <family val="1"/>
      </rPr>
      <t>月</t>
    </r>
  </si>
  <si>
    <r>
      <t>6</t>
    </r>
    <r>
      <rPr>
        <sz val="10"/>
        <rFont val="ＭＳ Ｐ明朝"/>
        <family val="1"/>
      </rPr>
      <t>月</t>
    </r>
  </si>
  <si>
    <r>
      <t>7</t>
    </r>
    <r>
      <rPr>
        <sz val="10"/>
        <rFont val="ＭＳ Ｐ明朝"/>
        <family val="1"/>
      </rPr>
      <t>月</t>
    </r>
  </si>
  <si>
    <r>
      <t>8</t>
    </r>
    <r>
      <rPr>
        <sz val="10"/>
        <rFont val="ＭＳ Ｐ明朝"/>
        <family val="1"/>
      </rPr>
      <t>月</t>
    </r>
  </si>
  <si>
    <r>
      <t>9</t>
    </r>
    <r>
      <rPr>
        <sz val="10"/>
        <rFont val="ＭＳ Ｐ明朝"/>
        <family val="1"/>
      </rPr>
      <t>月</t>
    </r>
  </si>
  <si>
    <r>
      <t>10</t>
    </r>
    <r>
      <rPr>
        <sz val="10"/>
        <rFont val="ＭＳ Ｐ明朝"/>
        <family val="1"/>
      </rPr>
      <t>月</t>
    </r>
  </si>
  <si>
    <r>
      <t>11</t>
    </r>
    <r>
      <rPr>
        <sz val="10"/>
        <rFont val="ＭＳ Ｐ明朝"/>
        <family val="1"/>
      </rPr>
      <t>月</t>
    </r>
  </si>
  <si>
    <r>
      <t>12</t>
    </r>
    <r>
      <rPr>
        <sz val="10"/>
        <rFont val="ＭＳ Ｐ明朝"/>
        <family val="1"/>
      </rPr>
      <t>月</t>
    </r>
  </si>
  <si>
    <r>
      <rPr>
        <sz val="10"/>
        <rFont val="ＭＳ Ｐ明朝"/>
        <family val="1"/>
      </rPr>
      <t>合計</t>
    </r>
  </si>
  <si>
    <r>
      <rPr>
        <sz val="10"/>
        <rFont val="ＭＳ Ｐ明朝"/>
        <family val="1"/>
      </rPr>
      <t>家族労働</t>
    </r>
  </si>
  <si>
    <r>
      <rPr>
        <sz val="10"/>
        <rFont val="ＭＳ Ｐ明朝"/>
        <family val="1"/>
      </rPr>
      <t>雇用労働</t>
    </r>
  </si>
  <si>
    <r>
      <rPr>
        <sz val="10"/>
        <rFont val="ＭＳ Ｐ明朝"/>
        <family val="1"/>
      </rPr>
      <t>構成員</t>
    </r>
  </si>
  <si>
    <r>
      <rPr>
        <sz val="10"/>
        <rFont val="ＭＳ Ｐ明朝"/>
        <family val="1"/>
      </rPr>
      <t>年間就農日</t>
    </r>
  </si>
  <si>
    <r>
      <rPr>
        <sz val="11"/>
        <rFont val="ＭＳ Ｐ明朝"/>
        <family val="1"/>
      </rPr>
      <t>円</t>
    </r>
  </si>
  <si>
    <r>
      <rPr>
        <sz val="11"/>
        <rFont val="ＭＳ Ｐ明朝"/>
        <family val="1"/>
      </rPr>
      <t>収入計（Ａ）</t>
    </r>
  </si>
  <si>
    <r>
      <rPr>
        <sz val="11"/>
        <rFont val="ＭＳ Ｐ明朝"/>
        <family val="1"/>
      </rPr>
      <t>支出総括表</t>
    </r>
  </si>
  <si>
    <r>
      <rPr>
        <sz val="11"/>
        <rFont val="ＭＳ Ｐ明朝"/>
        <family val="1"/>
      </rPr>
      <t>科目</t>
    </r>
  </si>
  <si>
    <r>
      <rPr>
        <sz val="11"/>
        <rFont val="ＭＳ Ｐ明朝"/>
        <family val="1"/>
      </rPr>
      <t>家族労働時間</t>
    </r>
  </si>
  <si>
    <r>
      <rPr>
        <sz val="11"/>
        <rFont val="ＭＳ Ｐ明朝"/>
        <family val="1"/>
      </rPr>
      <t>家族就農人数</t>
    </r>
  </si>
  <si>
    <r>
      <rPr>
        <sz val="11"/>
        <rFont val="ＭＳ Ｐ明朝"/>
        <family val="1"/>
      </rPr>
      <t>時間</t>
    </r>
  </si>
  <si>
    <r>
      <rPr>
        <sz val="11"/>
        <rFont val="ＭＳ Ｐ明朝"/>
        <family val="1"/>
      </rPr>
      <t>人</t>
    </r>
  </si>
  <si>
    <r>
      <rPr>
        <sz val="11"/>
        <rFont val="ＭＳ Ｐ明朝"/>
        <family val="1"/>
      </rPr>
      <t>労働時間</t>
    </r>
  </si>
  <si>
    <r>
      <rPr>
        <sz val="11"/>
        <rFont val="ＭＳ Ｐ明朝"/>
        <family val="1"/>
      </rPr>
      <t>時間</t>
    </r>
  </si>
  <si>
    <r>
      <rPr>
        <sz val="11"/>
        <rFont val="ＭＳ Ｐ明朝"/>
        <family val="1"/>
      </rPr>
      <t>時間</t>
    </r>
  </si>
  <si>
    <r>
      <rPr>
        <sz val="11"/>
        <rFont val="ＭＳ Ｐ明朝"/>
        <family val="1"/>
      </rPr>
      <t>雇用労働時間</t>
    </r>
  </si>
  <si>
    <t>経営主</t>
  </si>
  <si>
    <t>雇用</t>
  </si>
  <si>
    <r>
      <rPr>
        <sz val="10"/>
        <rFont val="ＭＳ ゴシック"/>
        <family val="3"/>
      </rPr>
      <t>調　査　品　目</t>
    </r>
  </si>
  <si>
    <r>
      <rPr>
        <sz val="10"/>
        <rFont val="ＭＳ ゴシック"/>
        <family val="3"/>
      </rPr>
      <t>わい性インゲン（施設）</t>
    </r>
  </si>
  <si>
    <r>
      <rPr>
        <sz val="10"/>
        <rFont val="ＭＳ ゴシック"/>
        <family val="3"/>
      </rPr>
      <t>わい性インゲン（露地）</t>
    </r>
  </si>
  <si>
    <r>
      <rPr>
        <sz val="10"/>
        <rFont val="ＭＳ ゴシック"/>
        <family val="3"/>
      </rPr>
      <t>わい性インゲン</t>
    </r>
  </si>
  <si>
    <r>
      <rPr>
        <sz val="10"/>
        <rFont val="ＭＳ ゴシック"/>
        <family val="3"/>
      </rPr>
      <t>スイカ（施設）</t>
    </r>
  </si>
  <si>
    <r>
      <rPr>
        <sz val="10"/>
        <rFont val="ＭＳ ゴシック"/>
        <family val="3"/>
      </rPr>
      <t>スイカ：植替（施設）</t>
    </r>
  </si>
  <si>
    <r>
      <rPr>
        <sz val="10"/>
        <rFont val="ＭＳ ゴシック"/>
        <family val="3"/>
      </rPr>
      <t>スイカ：後作（施設）</t>
    </r>
  </si>
  <si>
    <r>
      <rPr>
        <sz val="10"/>
        <rFont val="ＭＳ ゴシック"/>
        <family val="3"/>
      </rPr>
      <t>施設ナス</t>
    </r>
  </si>
  <si>
    <r>
      <rPr>
        <sz val="10"/>
        <rFont val="ＭＳ ゴシック"/>
        <family val="3"/>
      </rPr>
      <t>ニガウリ</t>
    </r>
    <r>
      <rPr>
        <sz val="10"/>
        <rFont val="Arial"/>
        <family val="2"/>
      </rPr>
      <t xml:space="preserve">   </t>
    </r>
    <r>
      <rPr>
        <sz val="10"/>
        <rFont val="ＭＳ ゴシック"/>
        <family val="3"/>
      </rPr>
      <t>（施設）</t>
    </r>
  </si>
  <si>
    <r>
      <rPr>
        <sz val="10"/>
        <rFont val="ＭＳ ゴシック"/>
        <family val="3"/>
      </rPr>
      <t>ニガウリ（露地）</t>
    </r>
  </si>
  <si>
    <r>
      <rPr>
        <sz val="10"/>
        <rFont val="ＭＳ ゴシック"/>
        <family val="3"/>
      </rPr>
      <t>パパイヤ（露地）</t>
    </r>
  </si>
  <si>
    <r>
      <rPr>
        <sz val="10"/>
        <rFont val="ＭＳ ゴシック"/>
        <family val="3"/>
      </rPr>
      <t>ピーマン　　　（施設）</t>
    </r>
  </si>
  <si>
    <r>
      <rPr>
        <sz val="10"/>
        <rFont val="ＭＳ ゴシック"/>
        <family val="3"/>
      </rPr>
      <t>施設ヘチマ</t>
    </r>
  </si>
  <si>
    <r>
      <rPr>
        <sz val="10"/>
        <rFont val="ＭＳ ゴシック"/>
        <family val="3"/>
      </rPr>
      <t>露地ヘチマ</t>
    </r>
  </si>
  <si>
    <r>
      <rPr>
        <sz val="10"/>
        <rFont val="ＭＳ ゴシック"/>
        <family val="3"/>
      </rPr>
      <t>カンショ　　（紅イモ）</t>
    </r>
  </si>
  <si>
    <r>
      <rPr>
        <sz val="10"/>
        <rFont val="ＭＳ ゴシック"/>
        <family val="3"/>
      </rPr>
      <t>島ニンジン</t>
    </r>
  </si>
  <si>
    <r>
      <rPr>
        <sz val="10"/>
        <rFont val="ＭＳ ゴシック"/>
        <family val="3"/>
      </rPr>
      <t>電照小菊</t>
    </r>
  </si>
  <si>
    <r>
      <rPr>
        <sz val="10"/>
        <rFont val="ＭＳ ゴシック"/>
        <family val="3"/>
      </rPr>
      <t>電照輪菊</t>
    </r>
  </si>
  <si>
    <r>
      <rPr>
        <sz val="10"/>
        <rFont val="ＭＳ ゴシック"/>
        <family val="3"/>
      </rPr>
      <t>電照輪菊</t>
    </r>
  </si>
  <si>
    <r>
      <rPr>
        <sz val="10"/>
        <rFont val="ＭＳ ゴシック"/>
        <family val="3"/>
      </rPr>
      <t>デンファレ　　（加温）</t>
    </r>
  </si>
  <si>
    <r>
      <rPr>
        <sz val="10"/>
        <rFont val="ＭＳ ゴシック"/>
        <family val="3"/>
      </rPr>
      <t>ドラセナ類</t>
    </r>
  </si>
  <si>
    <r>
      <rPr>
        <sz val="10"/>
        <rFont val="ＭＳ ゴシック"/>
        <family val="3"/>
      </rPr>
      <t>ブーゲンビレア（６号鉢）</t>
    </r>
  </si>
  <si>
    <r>
      <rPr>
        <sz val="10"/>
        <rFont val="ＭＳ ゴシック"/>
        <family val="3"/>
      </rPr>
      <t>早生温州みかん</t>
    </r>
  </si>
  <si>
    <r>
      <rPr>
        <sz val="10"/>
        <rFont val="ＭＳ ゴシック"/>
        <family val="3"/>
      </rPr>
      <t>島バナナ</t>
    </r>
  </si>
  <si>
    <r>
      <rPr>
        <sz val="10"/>
        <rFont val="ＭＳ ゴシック"/>
        <family val="3"/>
      </rPr>
      <t>アセローラ　（露地）</t>
    </r>
  </si>
  <si>
    <r>
      <rPr>
        <sz val="10"/>
        <rFont val="ＭＳ ゴシック"/>
        <family val="3"/>
      </rPr>
      <t>カニステル　（露地）</t>
    </r>
  </si>
  <si>
    <r>
      <rPr>
        <sz val="10"/>
        <rFont val="ＭＳ ゴシック"/>
        <family val="3"/>
      </rPr>
      <t>パッションフルーツ（電照）</t>
    </r>
  </si>
  <si>
    <r>
      <rPr>
        <sz val="10"/>
        <rFont val="ＭＳ ゴシック"/>
        <family val="3"/>
      </rPr>
      <t>パッションフルーツ（露地）</t>
    </r>
  </si>
  <si>
    <r>
      <rPr>
        <sz val="9"/>
        <rFont val="ＭＳ ゴシック"/>
        <family val="3"/>
      </rPr>
      <t xml:space="preserve">サトウキビ
</t>
    </r>
    <r>
      <rPr>
        <sz val="9"/>
        <rFont val="Arial"/>
        <family val="2"/>
      </rPr>
      <t>(</t>
    </r>
    <r>
      <rPr>
        <sz val="9"/>
        <rFont val="ＭＳ ゴシック"/>
        <family val="3"/>
      </rPr>
      <t>春植</t>
    </r>
    <r>
      <rPr>
        <sz val="9"/>
        <rFont val="Arial"/>
        <family val="2"/>
      </rPr>
      <t>)</t>
    </r>
  </si>
  <si>
    <r>
      <rPr>
        <sz val="9"/>
        <rFont val="ＭＳ ゴシック"/>
        <family val="3"/>
      </rPr>
      <t xml:space="preserve">サトウキビ
</t>
    </r>
    <r>
      <rPr>
        <sz val="9"/>
        <rFont val="Arial"/>
        <family val="2"/>
      </rPr>
      <t>(</t>
    </r>
    <r>
      <rPr>
        <sz val="9"/>
        <rFont val="ＭＳ ゴシック"/>
        <family val="3"/>
      </rPr>
      <t>株出</t>
    </r>
    <r>
      <rPr>
        <sz val="9"/>
        <rFont val="Arial"/>
        <family val="2"/>
      </rPr>
      <t>)</t>
    </r>
  </si>
  <si>
    <r>
      <rPr>
        <sz val="10"/>
        <rFont val="ＭＳ 明朝"/>
        <family val="1"/>
      </rPr>
      <t>サトウキビ夏植</t>
    </r>
    <r>
      <rPr>
        <sz val="10"/>
        <rFont val="Arial"/>
        <family val="2"/>
      </rPr>
      <t>(H22)</t>
    </r>
  </si>
  <si>
    <r>
      <rPr>
        <sz val="10"/>
        <rFont val="ＭＳ 明朝"/>
        <family val="1"/>
      </rPr>
      <t>サトウキビ春植</t>
    </r>
  </si>
  <si>
    <r>
      <rPr>
        <sz val="10"/>
        <rFont val="ＭＳ 明朝"/>
        <family val="1"/>
      </rPr>
      <t>サトウキビ夏植</t>
    </r>
  </si>
  <si>
    <r>
      <rPr>
        <sz val="10"/>
        <rFont val="ＭＳ 明朝"/>
        <family val="1"/>
      </rPr>
      <t>サトウキビ株出</t>
    </r>
  </si>
  <si>
    <r>
      <rPr>
        <sz val="10"/>
        <rFont val="ＭＳ 明朝"/>
        <family val="1"/>
      </rPr>
      <t>サトウキビ夏植（本島）</t>
    </r>
  </si>
  <si>
    <r>
      <rPr>
        <sz val="10"/>
        <rFont val="ＭＳ 明朝"/>
        <family val="1"/>
      </rPr>
      <t>サトウキビ夏植（離島）</t>
    </r>
  </si>
  <si>
    <r>
      <rPr>
        <sz val="10"/>
        <rFont val="ＭＳ 明朝"/>
        <family val="1"/>
      </rPr>
      <t>サトウキビ春植（本島）</t>
    </r>
  </si>
  <si>
    <r>
      <rPr>
        <sz val="10"/>
        <rFont val="ＭＳ 明朝"/>
        <family val="1"/>
      </rPr>
      <t>サトウキビ株出（本島）</t>
    </r>
  </si>
  <si>
    <r>
      <rPr>
        <sz val="10"/>
        <rFont val="ＭＳ 明朝"/>
        <family val="1"/>
      </rPr>
      <t>サトウキビ春植（離島）</t>
    </r>
  </si>
  <si>
    <r>
      <rPr>
        <sz val="10"/>
        <rFont val="ＭＳ 明朝"/>
        <family val="1"/>
      </rPr>
      <t>サトウキビ夏植（離島）</t>
    </r>
  </si>
  <si>
    <r>
      <rPr>
        <sz val="10"/>
        <rFont val="ＭＳ 明朝"/>
        <family val="1"/>
      </rPr>
      <t>サトウキビ株出（離島）</t>
    </r>
  </si>
  <si>
    <r>
      <rPr>
        <sz val="10"/>
        <rFont val="ＭＳ 明朝"/>
        <family val="1"/>
      </rPr>
      <t>サトウキビ夏植（機械）</t>
    </r>
  </si>
  <si>
    <r>
      <rPr>
        <sz val="10"/>
        <rFont val="ＭＳ 明朝"/>
        <family val="1"/>
      </rPr>
      <t>サトウキビ夏植（委託）</t>
    </r>
  </si>
  <si>
    <r>
      <rPr>
        <sz val="10"/>
        <rFont val="ＭＳ 明朝"/>
        <family val="1"/>
      </rPr>
      <t>サトウキビ春植</t>
    </r>
  </si>
  <si>
    <r>
      <rPr>
        <sz val="10"/>
        <rFont val="ＭＳ 明朝"/>
        <family val="1"/>
      </rPr>
      <t>サトウキビ夏植</t>
    </r>
  </si>
  <si>
    <r>
      <rPr>
        <sz val="11"/>
        <rFont val="ＭＳ ゴシック"/>
        <family val="3"/>
      </rPr>
      <t xml:space="preserve">水稲
</t>
    </r>
    <r>
      <rPr>
        <sz val="11"/>
        <rFont val="Arial"/>
        <family val="2"/>
      </rPr>
      <t>(</t>
    </r>
    <r>
      <rPr>
        <sz val="11"/>
        <rFont val="ＭＳ ゴシック"/>
        <family val="3"/>
      </rPr>
      <t>１期</t>
    </r>
    <r>
      <rPr>
        <sz val="11"/>
        <rFont val="Arial"/>
        <family val="2"/>
      </rPr>
      <t>)</t>
    </r>
    <r>
      <rPr>
        <sz val="11"/>
        <rFont val="ＭＳ ゴシック"/>
        <family val="3"/>
      </rPr>
      <t>※</t>
    </r>
  </si>
  <si>
    <r>
      <rPr>
        <sz val="11"/>
        <rFont val="ＭＳ ゴシック"/>
        <family val="3"/>
      </rPr>
      <t xml:space="preserve">水稲
</t>
    </r>
    <r>
      <rPr>
        <sz val="11"/>
        <rFont val="Arial"/>
        <family val="2"/>
      </rPr>
      <t>(</t>
    </r>
    <r>
      <rPr>
        <sz val="11"/>
        <rFont val="ＭＳ ゴシック"/>
        <family val="3"/>
      </rPr>
      <t>２期</t>
    </r>
    <r>
      <rPr>
        <sz val="11"/>
        <rFont val="Arial"/>
        <family val="2"/>
      </rPr>
      <t>)</t>
    </r>
    <r>
      <rPr>
        <sz val="11"/>
        <rFont val="ＭＳ ゴシック"/>
        <family val="3"/>
      </rPr>
      <t>※</t>
    </r>
  </si>
  <si>
    <r>
      <rPr>
        <sz val="9"/>
        <rFont val="ＭＳ ゴシック"/>
        <family val="3"/>
      </rPr>
      <t xml:space="preserve">水稲
</t>
    </r>
    <r>
      <rPr>
        <sz val="9"/>
        <rFont val="Arial"/>
        <family val="2"/>
      </rPr>
      <t>(</t>
    </r>
    <r>
      <rPr>
        <sz val="9"/>
        <rFont val="ＭＳ ゴシック"/>
        <family val="3"/>
      </rPr>
      <t>１期のみ</t>
    </r>
    <r>
      <rPr>
        <sz val="9"/>
        <rFont val="Arial"/>
        <family val="2"/>
      </rPr>
      <t>)</t>
    </r>
  </si>
  <si>
    <r>
      <rPr>
        <sz val="10"/>
        <rFont val="ＭＳ 明朝"/>
        <family val="1"/>
      </rPr>
      <t xml:space="preserve">水稲
</t>
    </r>
    <r>
      <rPr>
        <sz val="10"/>
        <rFont val="Arial"/>
        <family val="2"/>
      </rPr>
      <t>(</t>
    </r>
    <r>
      <rPr>
        <sz val="10"/>
        <rFont val="ＭＳ 明朝"/>
        <family val="1"/>
      </rPr>
      <t>１期作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</si>
  <si>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>落花生</t>
    </r>
  </si>
  <si>
    <r>
      <rPr>
        <sz val="10"/>
        <rFont val="ＭＳ 明朝"/>
        <family val="1"/>
      </rPr>
      <t>パンゴラグラス（牧草）</t>
    </r>
  </si>
  <si>
    <r>
      <rPr>
        <sz val="10"/>
        <rFont val="ＭＳ 明朝"/>
        <family val="1"/>
      </rPr>
      <t>ガットンパニック（牧草）</t>
    </r>
  </si>
  <si>
    <r>
      <rPr>
        <sz val="10"/>
        <rFont val="ＭＳ 明朝"/>
        <family val="1"/>
      </rPr>
      <t>水稲（１期作）</t>
    </r>
  </si>
  <si>
    <r>
      <rPr>
        <sz val="10"/>
        <rFont val="ＭＳ 明朝"/>
        <family val="1"/>
      </rPr>
      <t>モチキビ　（慣行）</t>
    </r>
  </si>
  <si>
    <r>
      <rPr>
        <sz val="10"/>
        <rFont val="ＭＳ 明朝"/>
        <family val="1"/>
      </rPr>
      <t>モチキビ　（新技術）</t>
    </r>
  </si>
  <si>
    <r>
      <rPr>
        <sz val="10"/>
        <rFont val="ＭＳ 明朝"/>
        <family val="1"/>
      </rPr>
      <t>モチキビ機械（慣行）</t>
    </r>
  </si>
  <si>
    <r>
      <rPr>
        <sz val="10"/>
        <rFont val="ＭＳ 明朝"/>
        <family val="1"/>
      </rPr>
      <t>モチキビ機械（新技術）</t>
    </r>
  </si>
  <si>
    <r>
      <rPr>
        <sz val="10"/>
        <rFont val="ＭＳ 明朝"/>
        <family val="1"/>
      </rPr>
      <t>タマネギ　（慣行）</t>
    </r>
  </si>
  <si>
    <r>
      <rPr>
        <sz val="10"/>
        <rFont val="ＭＳ 明朝"/>
        <family val="1"/>
      </rPr>
      <t>タマネギ　（新技術）</t>
    </r>
  </si>
  <si>
    <r>
      <rPr>
        <sz val="10"/>
        <rFont val="ＭＳ 明朝"/>
        <family val="1"/>
      </rPr>
      <t>タマネギ（慣行－改善）</t>
    </r>
  </si>
  <si>
    <r>
      <rPr>
        <sz val="10"/>
        <rFont val="ＭＳ 明朝"/>
        <family val="1"/>
      </rPr>
      <t>タマネギ（慣行－改善）　新技術</t>
    </r>
  </si>
  <si>
    <r>
      <rPr>
        <sz val="11"/>
        <rFont val="ＭＳ ゴシック"/>
        <family val="3"/>
      </rPr>
      <t>調　　査　　地</t>
    </r>
  </si>
  <si>
    <r>
      <rPr>
        <sz val="11"/>
        <rFont val="ＭＳ ゴシック"/>
        <family val="3"/>
      </rPr>
      <t>名護市</t>
    </r>
  </si>
  <si>
    <r>
      <rPr>
        <sz val="11"/>
        <rFont val="ＭＳ ゴシック"/>
        <family val="3"/>
      </rPr>
      <t>糸満市</t>
    </r>
  </si>
  <si>
    <r>
      <rPr>
        <sz val="11"/>
        <rFont val="ＭＳ ゴシック"/>
        <family val="3"/>
      </rPr>
      <t>城辺町</t>
    </r>
  </si>
  <si>
    <r>
      <rPr>
        <sz val="11"/>
        <rFont val="ＭＳ ゴシック"/>
        <family val="3"/>
      </rPr>
      <t>平良市</t>
    </r>
  </si>
  <si>
    <r>
      <rPr>
        <sz val="11"/>
        <rFont val="ＭＳ ゴシック"/>
        <family val="3"/>
      </rPr>
      <t>石垣市</t>
    </r>
  </si>
  <si>
    <r>
      <rPr>
        <sz val="11"/>
        <rFont val="ＭＳ ゴシック"/>
        <family val="3"/>
      </rPr>
      <t>城辺町</t>
    </r>
  </si>
  <si>
    <r>
      <rPr>
        <sz val="11"/>
        <rFont val="ＭＳ ゴシック"/>
        <family val="3"/>
      </rPr>
      <t>南風原町</t>
    </r>
  </si>
  <si>
    <r>
      <rPr>
        <sz val="11"/>
        <rFont val="ＭＳ ゴシック"/>
        <family val="3"/>
      </rPr>
      <t>本部町</t>
    </r>
  </si>
  <si>
    <r>
      <rPr>
        <sz val="11"/>
        <rFont val="ＭＳ ゴシック"/>
        <family val="3"/>
      </rPr>
      <t>下地町</t>
    </r>
  </si>
  <si>
    <r>
      <rPr>
        <sz val="11"/>
        <rFont val="ＭＳ ゴシック"/>
        <family val="3"/>
      </rPr>
      <t>具志頭村</t>
    </r>
  </si>
  <si>
    <r>
      <rPr>
        <sz val="11"/>
        <rFont val="ＭＳ ゴシック"/>
        <family val="3"/>
      </rPr>
      <t>東風平町</t>
    </r>
  </si>
  <si>
    <r>
      <rPr>
        <sz val="11"/>
        <rFont val="ＭＳ ゴシック"/>
        <family val="3"/>
      </rPr>
      <t>城辺町</t>
    </r>
  </si>
  <si>
    <r>
      <rPr>
        <sz val="11"/>
        <rFont val="ＭＳ ゴシック"/>
        <family val="3"/>
      </rPr>
      <t>中部</t>
    </r>
  </si>
  <si>
    <r>
      <rPr>
        <sz val="11"/>
        <rFont val="ＭＳ ゴシック"/>
        <family val="3"/>
      </rPr>
      <t>下地町</t>
    </r>
    <r>
      <rPr>
        <sz val="11"/>
        <rFont val="Arial"/>
        <family val="2"/>
      </rPr>
      <t>(9/</t>
    </r>
    <r>
      <rPr>
        <sz val="11"/>
        <rFont val="ＭＳ ゴシック"/>
        <family val="3"/>
      </rPr>
      <t>中</t>
    </r>
    <r>
      <rPr>
        <sz val="11"/>
        <rFont val="Arial"/>
        <family val="2"/>
      </rPr>
      <t>)</t>
    </r>
  </si>
  <si>
    <r>
      <rPr>
        <sz val="11"/>
        <rFont val="ＭＳ ゴシック"/>
        <family val="3"/>
      </rPr>
      <t>下地町</t>
    </r>
    <r>
      <rPr>
        <sz val="11"/>
        <rFont val="Arial"/>
        <family val="2"/>
      </rPr>
      <t>(10/</t>
    </r>
    <r>
      <rPr>
        <sz val="11"/>
        <rFont val="ＭＳ ゴシック"/>
        <family val="3"/>
      </rPr>
      <t>上</t>
    </r>
    <r>
      <rPr>
        <sz val="11"/>
        <rFont val="Arial"/>
        <family val="2"/>
      </rPr>
      <t>)</t>
    </r>
  </si>
  <si>
    <r>
      <rPr>
        <sz val="11"/>
        <rFont val="ＭＳ ゴシック"/>
        <family val="3"/>
      </rPr>
      <t>金武町</t>
    </r>
  </si>
  <si>
    <r>
      <rPr>
        <sz val="11"/>
        <rFont val="ＭＳ ゴシック"/>
        <family val="3"/>
      </rPr>
      <t>勝連町</t>
    </r>
  </si>
  <si>
    <r>
      <rPr>
        <sz val="11"/>
        <rFont val="ＭＳ ゴシック"/>
        <family val="3"/>
      </rPr>
      <t>中城村</t>
    </r>
  </si>
  <si>
    <r>
      <rPr>
        <sz val="11"/>
        <rFont val="ＭＳ ゴシック"/>
        <family val="3"/>
      </rPr>
      <t>北大東村</t>
    </r>
  </si>
  <si>
    <r>
      <rPr>
        <sz val="11"/>
        <rFont val="ＭＳ ゴシック"/>
        <family val="3"/>
      </rPr>
      <t>大里村</t>
    </r>
  </si>
  <si>
    <r>
      <rPr>
        <sz val="11"/>
        <rFont val="ＭＳ ゴシック"/>
        <family val="3"/>
      </rPr>
      <t>石川市</t>
    </r>
  </si>
  <si>
    <r>
      <rPr>
        <sz val="11"/>
        <rFont val="ＭＳ ゴシック"/>
        <family val="3"/>
      </rPr>
      <t>豊見城村</t>
    </r>
  </si>
  <si>
    <r>
      <rPr>
        <sz val="11"/>
        <rFont val="ＭＳ ゴシック"/>
        <family val="3"/>
      </rPr>
      <t>具志川市</t>
    </r>
  </si>
  <si>
    <r>
      <rPr>
        <sz val="11"/>
        <rFont val="ＭＳ ゴシック"/>
        <family val="3"/>
      </rPr>
      <t>具志川村</t>
    </r>
  </si>
  <si>
    <r>
      <rPr>
        <sz val="11"/>
        <rFont val="ＭＳ ゴシック"/>
        <family val="3"/>
      </rPr>
      <t>沖縄市</t>
    </r>
  </si>
  <si>
    <r>
      <rPr>
        <sz val="11"/>
        <rFont val="ＭＳ ゴシック"/>
        <family val="3"/>
      </rPr>
      <t>読谷村</t>
    </r>
  </si>
  <si>
    <r>
      <rPr>
        <sz val="11"/>
        <rFont val="ＭＳ ゴシック"/>
        <family val="3"/>
      </rPr>
      <t>玉城村</t>
    </r>
  </si>
  <si>
    <r>
      <rPr>
        <sz val="11"/>
        <rFont val="ＭＳ ゴシック"/>
        <family val="3"/>
      </rPr>
      <t>仲里村</t>
    </r>
  </si>
  <si>
    <r>
      <rPr>
        <sz val="11"/>
        <rFont val="ＭＳ ゴシック"/>
        <family val="3"/>
      </rPr>
      <t>上野村</t>
    </r>
  </si>
  <si>
    <r>
      <rPr>
        <sz val="11"/>
        <rFont val="ＭＳ ゴシック"/>
        <family val="3"/>
      </rPr>
      <t>国頭村</t>
    </r>
  </si>
  <si>
    <r>
      <rPr>
        <sz val="11"/>
        <rFont val="ＭＳ ゴシック"/>
        <family val="3"/>
      </rPr>
      <t>大宜味村</t>
    </r>
  </si>
  <si>
    <r>
      <rPr>
        <sz val="11"/>
        <rFont val="ＭＳ ゴシック"/>
        <family val="3"/>
      </rPr>
      <t>本島南部</t>
    </r>
  </si>
  <si>
    <r>
      <rPr>
        <sz val="11"/>
        <rFont val="ＭＳ ゴシック"/>
        <family val="3"/>
      </rPr>
      <t>佐敷町</t>
    </r>
  </si>
  <si>
    <r>
      <rPr>
        <sz val="11"/>
        <rFont val="ＭＳ ゴシック"/>
        <family val="3"/>
      </rPr>
      <t>知念村</t>
    </r>
  </si>
  <si>
    <r>
      <rPr>
        <sz val="11"/>
        <rFont val="ＭＳ Ｐゴシック"/>
        <family val="3"/>
      </rPr>
      <t>名護市</t>
    </r>
  </si>
  <si>
    <r>
      <rPr>
        <sz val="11"/>
        <rFont val="ＭＳ Ｐゴシック"/>
        <family val="3"/>
      </rPr>
      <t>大里村</t>
    </r>
  </si>
  <si>
    <r>
      <rPr>
        <sz val="11"/>
        <rFont val="ＭＳ Ｐゴシック"/>
        <family val="3"/>
      </rPr>
      <t>仲里村</t>
    </r>
  </si>
  <si>
    <r>
      <rPr>
        <sz val="11"/>
        <rFont val="ＭＳ Ｐゴシック"/>
        <family val="3"/>
      </rPr>
      <t>東風平町</t>
    </r>
  </si>
  <si>
    <r>
      <rPr>
        <sz val="11"/>
        <rFont val="ＭＳ Ｐゴシック"/>
        <family val="3"/>
      </rPr>
      <t>南大東村</t>
    </r>
  </si>
  <si>
    <r>
      <rPr>
        <sz val="11"/>
        <rFont val="ＭＳ Ｐゴシック"/>
        <family val="3"/>
      </rPr>
      <t>南大東村</t>
    </r>
  </si>
  <si>
    <r>
      <rPr>
        <sz val="11"/>
        <rFont val="ＭＳ Ｐゴシック"/>
        <family val="3"/>
      </rPr>
      <t>城辺町</t>
    </r>
  </si>
  <si>
    <r>
      <rPr>
        <sz val="11"/>
        <rFont val="ＭＳ Ｐゴシック"/>
        <family val="3"/>
      </rPr>
      <t>伊良部町</t>
    </r>
  </si>
  <si>
    <r>
      <rPr>
        <sz val="11"/>
        <rFont val="ＭＳ Ｐゴシック"/>
        <family val="3"/>
      </rPr>
      <t>下地町</t>
    </r>
  </si>
  <si>
    <r>
      <rPr>
        <sz val="11"/>
        <rFont val="ＭＳ Ｐゴシック"/>
        <family val="3"/>
      </rPr>
      <t>石垣市</t>
    </r>
  </si>
  <si>
    <r>
      <rPr>
        <sz val="12"/>
        <rFont val="ＭＳ ゴシック"/>
        <family val="3"/>
      </rPr>
      <t>石垣市</t>
    </r>
  </si>
  <si>
    <r>
      <rPr>
        <sz val="11"/>
        <rFont val="ＭＳ ゴシック"/>
        <family val="3"/>
      </rPr>
      <t>石垣市</t>
    </r>
  </si>
  <si>
    <r>
      <rPr>
        <sz val="11"/>
        <rFont val="ＭＳ Ｐゴシック"/>
        <family val="3"/>
      </rPr>
      <t>恩納村</t>
    </r>
  </si>
  <si>
    <r>
      <rPr>
        <sz val="11"/>
        <rFont val="ＭＳ Ｐゴシック"/>
        <family val="3"/>
      </rPr>
      <t>与那城町</t>
    </r>
  </si>
  <si>
    <r>
      <rPr>
        <sz val="11"/>
        <rFont val="ＭＳ Ｐゴシック"/>
        <family val="3"/>
      </rPr>
      <t>粟国村</t>
    </r>
  </si>
  <si>
    <r>
      <rPr>
        <sz val="11"/>
        <rFont val="ＭＳ ゴシック"/>
        <family val="3"/>
      </rPr>
      <t>生産額　　</t>
    </r>
  </si>
  <si>
    <r>
      <rPr>
        <sz val="11"/>
        <rFont val="ＭＳ ゴシック"/>
        <family val="3"/>
      </rPr>
      <t>粗収入</t>
    </r>
  </si>
  <si>
    <r>
      <rPr>
        <sz val="11"/>
        <rFont val="ＭＳ ゴシック"/>
        <family val="3"/>
      </rPr>
      <t>収量（</t>
    </r>
    <r>
      <rPr>
        <sz val="11"/>
        <rFont val="Arial"/>
        <family val="2"/>
      </rPr>
      <t>kg</t>
    </r>
    <r>
      <rPr>
        <sz val="11"/>
        <rFont val="ＭＳ ゴシック"/>
        <family val="3"/>
      </rPr>
      <t>、</t>
    </r>
    <r>
      <rPr>
        <sz val="11"/>
        <rFont val="Arial"/>
        <family val="2"/>
      </rPr>
      <t>t,</t>
    </r>
    <r>
      <rPr>
        <sz val="11"/>
        <rFont val="ＭＳ ゴシック"/>
        <family val="3"/>
      </rPr>
      <t>本）</t>
    </r>
  </si>
  <si>
    <r>
      <rPr>
        <sz val="11"/>
        <rFont val="ＭＳ ゴシック"/>
        <family val="3"/>
      </rPr>
      <t>単価（円）</t>
    </r>
  </si>
  <si>
    <r>
      <rPr>
        <sz val="11"/>
        <rFont val="ＭＳ ゴシック"/>
        <family val="3"/>
      </rPr>
      <t>経　　営　　費</t>
    </r>
  </si>
  <si>
    <r>
      <rPr>
        <sz val="11"/>
        <rFont val="ＭＳ ゴシック"/>
        <family val="3"/>
      </rPr>
      <t>種苗費</t>
    </r>
  </si>
  <si>
    <r>
      <rPr>
        <sz val="11"/>
        <rFont val="ＭＳ ゴシック"/>
        <family val="3"/>
      </rPr>
      <t>肥料費</t>
    </r>
  </si>
  <si>
    <r>
      <rPr>
        <sz val="11"/>
        <rFont val="ＭＳ ゴシック"/>
        <family val="3"/>
      </rPr>
      <t>農薬費</t>
    </r>
  </si>
  <si>
    <r>
      <rPr>
        <sz val="11"/>
        <rFont val="ＭＳ ゴシック"/>
        <family val="3"/>
      </rPr>
      <t>光熱動力費</t>
    </r>
  </si>
  <si>
    <r>
      <rPr>
        <sz val="11"/>
        <rFont val="ＭＳ ゴシック"/>
        <family val="3"/>
      </rPr>
      <t>諸材料費</t>
    </r>
  </si>
  <si>
    <r>
      <rPr>
        <sz val="11"/>
        <rFont val="ＭＳ ゴシック"/>
        <family val="3"/>
      </rPr>
      <t>水利費</t>
    </r>
  </si>
  <si>
    <r>
      <rPr>
        <sz val="11"/>
        <rFont val="ＭＳ ゴシック"/>
        <family val="3"/>
      </rPr>
      <t>賃借料・料金</t>
    </r>
  </si>
  <si>
    <r>
      <rPr>
        <sz val="11"/>
        <rFont val="ＭＳ ゴシック"/>
        <family val="3"/>
      </rPr>
      <t>償却費</t>
    </r>
  </si>
  <si>
    <r>
      <rPr>
        <sz val="11"/>
        <rFont val="ＭＳ ゴシック"/>
        <family val="3"/>
      </rPr>
      <t>建物・施設</t>
    </r>
  </si>
  <si>
    <r>
      <rPr>
        <sz val="11"/>
        <rFont val="ＭＳ ゴシック"/>
        <family val="3"/>
      </rPr>
      <t>大農具</t>
    </r>
  </si>
  <si>
    <r>
      <rPr>
        <sz val="11"/>
        <rFont val="ＭＳ ゴシック"/>
        <family val="3"/>
      </rPr>
      <t>大植物</t>
    </r>
  </si>
  <si>
    <r>
      <rPr>
        <sz val="11"/>
        <rFont val="ＭＳ ゴシック"/>
        <family val="3"/>
      </rPr>
      <t>償却資産修繕費</t>
    </r>
  </si>
  <si>
    <r>
      <rPr>
        <sz val="11"/>
        <rFont val="ＭＳ ゴシック"/>
        <family val="3"/>
      </rPr>
      <t>畜力費</t>
    </r>
  </si>
  <si>
    <r>
      <rPr>
        <sz val="11"/>
        <rFont val="ＭＳ ゴシック"/>
        <family val="3"/>
      </rPr>
      <t>雇用労賃</t>
    </r>
  </si>
  <si>
    <r>
      <rPr>
        <sz val="11"/>
        <rFont val="ＭＳ ゴシック"/>
        <family val="3"/>
      </rPr>
      <t>内訳</t>
    </r>
  </si>
  <si>
    <r>
      <rPr>
        <sz val="11"/>
        <rFont val="ＭＳ ゴシック"/>
        <family val="3"/>
      </rPr>
      <t>手数料料金</t>
    </r>
  </si>
  <si>
    <r>
      <rPr>
        <sz val="11"/>
        <rFont val="ＭＳ ゴシック"/>
        <family val="3"/>
      </rPr>
      <t>配送運賃</t>
    </r>
  </si>
  <si>
    <r>
      <rPr>
        <sz val="11"/>
        <rFont val="ＭＳ ゴシック"/>
        <family val="3"/>
      </rPr>
      <t>包装資材費</t>
    </r>
  </si>
  <si>
    <r>
      <rPr>
        <sz val="11"/>
        <rFont val="ＭＳ ゴシック"/>
        <family val="3"/>
      </rPr>
      <t>経営費計</t>
    </r>
  </si>
  <si>
    <r>
      <rPr>
        <sz val="11"/>
        <rFont val="ＭＳ ゴシック"/>
        <family val="3"/>
      </rPr>
      <t>所　　　　　得</t>
    </r>
  </si>
  <si>
    <r>
      <rPr>
        <sz val="10"/>
        <rFont val="ＭＳ ゴシック"/>
        <family val="3"/>
      </rPr>
      <t>モロヘイヤ</t>
    </r>
  </si>
  <si>
    <r>
      <rPr>
        <sz val="10"/>
        <rFont val="ＭＳ ゴシック"/>
        <family val="3"/>
      </rPr>
      <t>インゲン</t>
    </r>
  </si>
  <si>
    <r>
      <rPr>
        <sz val="10"/>
        <rFont val="ＭＳ ゴシック"/>
        <family val="3"/>
      </rPr>
      <t>オクラ</t>
    </r>
  </si>
  <si>
    <r>
      <rPr>
        <sz val="10"/>
        <rFont val="ＭＳ ゴシック"/>
        <family val="3"/>
      </rPr>
      <t>カボチャ</t>
    </r>
  </si>
  <si>
    <r>
      <rPr>
        <sz val="10"/>
        <rFont val="ＭＳ ゴシック"/>
        <family val="3"/>
      </rPr>
      <t>シシトウ</t>
    </r>
  </si>
  <si>
    <r>
      <rPr>
        <sz val="10"/>
        <rFont val="ＭＳ ゴシック"/>
        <family val="3"/>
      </rPr>
      <t>スイートコーン</t>
    </r>
  </si>
  <si>
    <r>
      <rPr>
        <sz val="10"/>
        <rFont val="ＭＳ ゴシック"/>
        <family val="3"/>
      </rPr>
      <t>トウガン</t>
    </r>
  </si>
  <si>
    <r>
      <rPr>
        <sz val="10"/>
        <rFont val="ＭＳ ゴシック"/>
        <family val="3"/>
      </rPr>
      <t>ミニトマト</t>
    </r>
  </si>
  <si>
    <r>
      <rPr>
        <sz val="10"/>
        <rFont val="ＭＳ ゴシック"/>
        <family val="3"/>
      </rPr>
      <t>メロン</t>
    </r>
  </si>
  <si>
    <r>
      <rPr>
        <sz val="10"/>
        <rFont val="ＭＳ ゴシック"/>
        <family val="3"/>
      </rPr>
      <t>サトイモ</t>
    </r>
  </si>
  <si>
    <r>
      <rPr>
        <sz val="10"/>
        <rFont val="ＭＳ ゴシック"/>
        <family val="3"/>
      </rPr>
      <t>ダイコン</t>
    </r>
  </si>
  <si>
    <r>
      <rPr>
        <sz val="10"/>
        <rFont val="ＭＳ ゴシック"/>
        <family val="3"/>
      </rPr>
      <t>タイモ</t>
    </r>
  </si>
  <si>
    <r>
      <rPr>
        <sz val="10"/>
        <rFont val="ＭＳ ゴシック"/>
        <family val="3"/>
      </rPr>
      <t>ニンジン</t>
    </r>
  </si>
  <si>
    <r>
      <rPr>
        <sz val="10"/>
        <rFont val="ＭＳ ゴシック"/>
        <family val="3"/>
      </rPr>
      <t>バレイショ</t>
    </r>
  </si>
  <si>
    <r>
      <rPr>
        <sz val="10"/>
        <rFont val="ＭＳ ゴシック"/>
        <family val="3"/>
      </rPr>
      <t>アンスリウム</t>
    </r>
  </si>
  <si>
    <r>
      <rPr>
        <sz val="10"/>
        <rFont val="ＭＳ ゴシック"/>
        <family val="3"/>
      </rPr>
      <t>オンシジューム</t>
    </r>
  </si>
  <si>
    <r>
      <rPr>
        <sz val="10"/>
        <rFont val="ＭＳ ゴシック"/>
        <family val="3"/>
      </rPr>
      <t>クジャクアスター</t>
    </r>
  </si>
  <si>
    <r>
      <rPr>
        <sz val="10"/>
        <rFont val="ＭＳ ゴシック"/>
        <family val="3"/>
      </rPr>
      <t>クルクマ</t>
    </r>
  </si>
  <si>
    <r>
      <rPr>
        <sz val="10"/>
        <rFont val="ＭＳ ゴシック"/>
        <family val="3"/>
      </rPr>
      <t>ストレリチア</t>
    </r>
  </si>
  <si>
    <r>
      <rPr>
        <sz val="10"/>
        <rFont val="ＭＳ ゴシック"/>
        <family val="3"/>
      </rPr>
      <t>ソリダゴ</t>
    </r>
  </si>
  <si>
    <r>
      <rPr>
        <sz val="10"/>
        <rFont val="ＭＳ ゴシック"/>
        <family val="3"/>
      </rPr>
      <t>デンファレ</t>
    </r>
  </si>
  <si>
    <r>
      <rPr>
        <sz val="10"/>
        <rFont val="ＭＳ ゴシック"/>
        <family val="3"/>
      </rPr>
      <t>ヘリコニア</t>
    </r>
  </si>
  <si>
    <r>
      <rPr>
        <sz val="10"/>
        <rFont val="ＭＳ ゴシック"/>
        <family val="3"/>
      </rPr>
      <t>リアトリス</t>
    </r>
  </si>
  <si>
    <r>
      <rPr>
        <sz val="10"/>
        <rFont val="ＭＳ ゴシック"/>
        <family val="3"/>
      </rPr>
      <t>レッドジインジャー</t>
    </r>
  </si>
  <si>
    <r>
      <rPr>
        <sz val="10"/>
        <rFont val="ＭＳ ゴシック"/>
        <family val="3"/>
      </rPr>
      <t>オオタニワタリ</t>
    </r>
  </si>
  <si>
    <r>
      <rPr>
        <sz val="10"/>
        <rFont val="ＭＳ ゴシック"/>
        <family val="3"/>
      </rPr>
      <t>スマイラックス</t>
    </r>
  </si>
  <si>
    <r>
      <rPr>
        <sz val="10"/>
        <rFont val="ＭＳ ゴシック"/>
        <family val="3"/>
      </rPr>
      <t>ドラセナ　　　（レインボー）</t>
    </r>
  </si>
  <si>
    <r>
      <rPr>
        <sz val="10"/>
        <rFont val="ＭＳ ゴシック"/>
        <family val="3"/>
      </rPr>
      <t>コンシンネ</t>
    </r>
  </si>
  <si>
    <r>
      <rPr>
        <sz val="10"/>
        <rFont val="ＭＳ ゴシック"/>
        <family val="3"/>
      </rPr>
      <t>タンカン</t>
    </r>
  </si>
  <si>
    <r>
      <rPr>
        <sz val="10"/>
        <rFont val="ＭＳ ゴシック"/>
        <family val="3"/>
      </rPr>
      <t>マンゴー</t>
    </r>
  </si>
  <si>
    <r>
      <rPr>
        <sz val="10"/>
        <rFont val="ＭＳ ゴシック"/>
        <family val="3"/>
      </rPr>
      <t>スモモ</t>
    </r>
  </si>
  <si>
    <r>
      <rPr>
        <sz val="10"/>
        <rFont val="ＭＳ ゴシック"/>
        <family val="3"/>
      </rPr>
      <t>シークワシャー</t>
    </r>
  </si>
  <si>
    <r>
      <rPr>
        <sz val="10"/>
        <rFont val="ＭＳ ゴシック"/>
        <family val="3"/>
      </rPr>
      <t>ゴレンシ</t>
    </r>
  </si>
  <si>
    <r>
      <rPr>
        <sz val="10"/>
        <rFont val="ＭＳ ゴシック"/>
        <family val="3"/>
      </rPr>
      <t>パッションフルーツ</t>
    </r>
  </si>
  <si>
    <r>
      <rPr>
        <sz val="10"/>
        <rFont val="ＭＳ ゴシック"/>
        <family val="3"/>
      </rPr>
      <t>レイシ</t>
    </r>
  </si>
  <si>
    <r>
      <rPr>
        <sz val="10"/>
        <rFont val="ＭＳ ゴシック"/>
        <family val="3"/>
      </rPr>
      <t>ビワ</t>
    </r>
  </si>
  <si>
    <r>
      <rPr>
        <sz val="10"/>
        <rFont val="ＭＳ ゴシック"/>
        <family val="3"/>
      </rPr>
      <t>アテモヤ</t>
    </r>
  </si>
  <si>
    <r>
      <rPr>
        <sz val="9"/>
        <rFont val="ＭＳ ゴシック"/>
        <family val="3"/>
      </rPr>
      <t xml:space="preserve">サトウキビ
</t>
    </r>
    <r>
      <rPr>
        <sz val="9"/>
        <rFont val="Arial"/>
        <family val="2"/>
      </rPr>
      <t>(</t>
    </r>
    <r>
      <rPr>
        <sz val="9"/>
        <rFont val="ＭＳ ゴシック"/>
        <family val="3"/>
      </rPr>
      <t>春</t>
    </r>
    <r>
      <rPr>
        <sz val="9"/>
        <rFont val="Arial"/>
        <family val="2"/>
      </rPr>
      <t>+</t>
    </r>
    <r>
      <rPr>
        <sz val="9"/>
        <rFont val="ＭＳ ゴシック"/>
        <family val="3"/>
      </rPr>
      <t>株</t>
    </r>
    <r>
      <rPr>
        <sz val="9"/>
        <rFont val="Arial"/>
        <family val="2"/>
      </rPr>
      <t>)/2</t>
    </r>
  </si>
  <si>
    <r>
      <rPr>
        <sz val="10"/>
        <rFont val="ＭＳ ゴシック"/>
        <family val="3"/>
      </rPr>
      <t>パイン</t>
    </r>
  </si>
  <si>
    <r>
      <rPr>
        <sz val="10"/>
        <rFont val="ＭＳ Ｐゴシック"/>
        <family val="3"/>
      </rPr>
      <t>イグサ</t>
    </r>
  </si>
  <si>
    <r>
      <rPr>
        <sz val="10"/>
        <rFont val="ＭＳ Ｐゴシック"/>
        <family val="3"/>
      </rPr>
      <t>モチキビ</t>
    </r>
  </si>
  <si>
    <r>
      <rPr>
        <sz val="12"/>
        <rFont val="ＭＳ ゴシック"/>
        <family val="3"/>
      </rPr>
      <t>南部</t>
    </r>
    <r>
      <rPr>
        <sz val="12"/>
        <rFont val="Arial"/>
        <family val="2"/>
      </rPr>
      <t>.</t>
    </r>
    <r>
      <rPr>
        <sz val="12"/>
        <rFont val="ＭＳ ゴシック"/>
        <family val="3"/>
      </rPr>
      <t>離島</t>
    </r>
  </si>
  <si>
    <r>
      <rPr>
        <sz val="12"/>
        <rFont val="ＭＳ ゴシック"/>
        <family val="3"/>
      </rPr>
      <t>宮古</t>
    </r>
  </si>
  <si>
    <t>kg</t>
  </si>
  <si>
    <t>経営費合計（D）</t>
  </si>
  <si>
    <t>小計（C－Ｄ）</t>
  </si>
  <si>
    <t>農業所得（A-B）</t>
  </si>
  <si>
    <t>小計（Ｃ－Ｄ）</t>
  </si>
  <si>
    <t>家族労働の積算基礎</t>
  </si>
  <si>
    <r>
      <rPr>
        <sz val="10"/>
        <rFont val="ＭＳ Ｐゴシック"/>
        <family val="3"/>
      </rPr>
      <t>頭</t>
    </r>
  </si>
  <si>
    <r>
      <rPr>
        <sz val="10"/>
        <rFont val="ＭＳ Ｐゴシック"/>
        <family val="3"/>
      </rPr>
      <t>①</t>
    </r>
  </si>
  <si>
    <r>
      <rPr>
        <sz val="10"/>
        <rFont val="ＭＳ Ｐゴシック"/>
        <family val="3"/>
      </rPr>
      <t>②</t>
    </r>
  </si>
  <si>
    <r>
      <rPr>
        <sz val="10"/>
        <rFont val="ＭＳ Ｐゴシック"/>
        <family val="3"/>
      </rPr>
      <t>③</t>
    </r>
  </si>
  <si>
    <t>（出荷頭数）×（枝肉重量）×（kg単価）×1.08</t>
  </si>
  <si>
    <t>家族
労働者</t>
  </si>
  <si>
    <r>
      <rPr>
        <sz val="10"/>
        <rFont val="ＭＳ Ｐゴシック"/>
        <family val="3"/>
      </rPr>
      <t>①</t>
    </r>
  </si>
  <si>
    <r>
      <rPr>
        <sz val="10"/>
        <rFont val="ＭＳ Ｐゴシック"/>
        <family val="3"/>
      </rPr>
      <t>②</t>
    </r>
  </si>
  <si>
    <r>
      <rPr>
        <sz val="10"/>
        <rFont val="ＭＳ Ｐゴシック"/>
        <family val="3"/>
      </rPr>
      <t>③</t>
    </r>
  </si>
  <si>
    <r>
      <t>1</t>
    </r>
    <r>
      <rPr>
        <sz val="10"/>
        <rFont val="ＭＳ Ｐゴシック"/>
        <family val="3"/>
      </rPr>
      <t>月</t>
    </r>
  </si>
  <si>
    <r>
      <t>2</t>
    </r>
    <r>
      <rPr>
        <sz val="10"/>
        <rFont val="ＭＳ Ｐゴシック"/>
        <family val="3"/>
      </rPr>
      <t>月</t>
    </r>
  </si>
  <si>
    <r>
      <t>3</t>
    </r>
    <r>
      <rPr>
        <sz val="10"/>
        <rFont val="ＭＳ Ｐゴシック"/>
        <family val="3"/>
      </rPr>
      <t>月</t>
    </r>
  </si>
  <si>
    <r>
      <t>4</t>
    </r>
    <r>
      <rPr>
        <sz val="10"/>
        <rFont val="ＭＳ Ｐゴシック"/>
        <family val="3"/>
      </rPr>
      <t>月</t>
    </r>
  </si>
  <si>
    <r>
      <t>5</t>
    </r>
    <r>
      <rPr>
        <sz val="10"/>
        <rFont val="ＭＳ Ｐゴシック"/>
        <family val="3"/>
      </rPr>
      <t>月</t>
    </r>
  </si>
  <si>
    <r>
      <t>6</t>
    </r>
    <r>
      <rPr>
        <sz val="10"/>
        <rFont val="ＭＳ Ｐゴシック"/>
        <family val="3"/>
      </rPr>
      <t>月</t>
    </r>
  </si>
  <si>
    <r>
      <t>7</t>
    </r>
    <r>
      <rPr>
        <sz val="10"/>
        <rFont val="ＭＳ Ｐゴシック"/>
        <family val="3"/>
      </rPr>
      <t>月</t>
    </r>
  </si>
  <si>
    <r>
      <t>8</t>
    </r>
    <r>
      <rPr>
        <sz val="10"/>
        <rFont val="ＭＳ Ｐゴシック"/>
        <family val="3"/>
      </rPr>
      <t>月</t>
    </r>
  </si>
  <si>
    <r>
      <t>9</t>
    </r>
    <r>
      <rPr>
        <sz val="10"/>
        <rFont val="ＭＳ Ｐゴシック"/>
        <family val="3"/>
      </rPr>
      <t>月</t>
    </r>
  </si>
  <si>
    <r>
      <t>10</t>
    </r>
    <r>
      <rPr>
        <sz val="10"/>
        <rFont val="ＭＳ Ｐゴシック"/>
        <family val="3"/>
      </rPr>
      <t>月</t>
    </r>
  </si>
  <si>
    <r>
      <t>11</t>
    </r>
    <r>
      <rPr>
        <sz val="10"/>
        <rFont val="ＭＳ Ｐゴシック"/>
        <family val="3"/>
      </rPr>
      <t>月</t>
    </r>
  </si>
  <si>
    <r>
      <t>12</t>
    </r>
    <r>
      <rPr>
        <sz val="10"/>
        <rFont val="ＭＳ Ｐゴシック"/>
        <family val="3"/>
      </rPr>
      <t>月</t>
    </r>
  </si>
  <si>
    <t>オクラ</t>
  </si>
  <si>
    <t>ａ</t>
  </si>
  <si>
    <t>万円</t>
  </si>
  <si>
    <t>葉たばこ</t>
  </si>
  <si>
    <t>石垣市</t>
  </si>
  <si>
    <t>葉たばこ</t>
  </si>
  <si>
    <r>
      <t>1</t>
    </r>
    <r>
      <rPr>
        <sz val="11"/>
        <rFont val="ＭＳ Ｐ明朝"/>
        <family val="1"/>
      </rPr>
      <t>月</t>
    </r>
  </si>
  <si>
    <r>
      <t>2</t>
    </r>
    <r>
      <rPr>
        <sz val="11"/>
        <rFont val="ＭＳ Ｐ明朝"/>
        <family val="1"/>
      </rPr>
      <t>月</t>
    </r>
  </si>
  <si>
    <r>
      <t>3</t>
    </r>
    <r>
      <rPr>
        <sz val="11"/>
        <rFont val="ＭＳ Ｐ明朝"/>
        <family val="1"/>
      </rPr>
      <t>月</t>
    </r>
  </si>
  <si>
    <r>
      <t>4</t>
    </r>
    <r>
      <rPr>
        <sz val="11"/>
        <rFont val="ＭＳ Ｐ明朝"/>
        <family val="1"/>
      </rPr>
      <t>月</t>
    </r>
  </si>
  <si>
    <r>
      <t>5</t>
    </r>
    <r>
      <rPr>
        <sz val="11"/>
        <rFont val="ＭＳ Ｐ明朝"/>
        <family val="1"/>
      </rPr>
      <t>月</t>
    </r>
  </si>
  <si>
    <r>
      <t>6</t>
    </r>
    <r>
      <rPr>
        <sz val="11"/>
        <rFont val="ＭＳ Ｐ明朝"/>
        <family val="1"/>
      </rPr>
      <t>月</t>
    </r>
  </si>
  <si>
    <r>
      <t>7</t>
    </r>
    <r>
      <rPr>
        <sz val="11"/>
        <rFont val="ＭＳ Ｐ明朝"/>
        <family val="1"/>
      </rPr>
      <t>月</t>
    </r>
  </si>
  <si>
    <r>
      <t>8</t>
    </r>
    <r>
      <rPr>
        <sz val="11"/>
        <rFont val="ＭＳ Ｐ明朝"/>
        <family val="1"/>
      </rPr>
      <t>月</t>
    </r>
  </si>
  <si>
    <r>
      <t>9</t>
    </r>
    <r>
      <rPr>
        <sz val="11"/>
        <rFont val="ＭＳ Ｐ明朝"/>
        <family val="1"/>
      </rPr>
      <t>月</t>
    </r>
  </si>
  <si>
    <r>
      <t>10</t>
    </r>
    <r>
      <rPr>
        <sz val="11"/>
        <rFont val="ＭＳ Ｐ明朝"/>
        <family val="1"/>
      </rPr>
      <t>月</t>
    </r>
  </si>
  <si>
    <r>
      <t>11</t>
    </r>
    <r>
      <rPr>
        <sz val="11"/>
        <rFont val="ＭＳ Ｐ明朝"/>
        <family val="1"/>
      </rPr>
      <t>月</t>
    </r>
  </si>
  <si>
    <r>
      <t>12</t>
    </r>
    <r>
      <rPr>
        <sz val="11"/>
        <rFont val="ＭＳ Ｐ明朝"/>
        <family val="1"/>
      </rPr>
      <t>月</t>
    </r>
  </si>
  <si>
    <r>
      <rPr>
        <sz val="11"/>
        <rFont val="ＭＳ Ｐ明朝"/>
        <family val="1"/>
      </rPr>
      <t>合計</t>
    </r>
  </si>
  <si>
    <t>円</t>
  </si>
  <si>
    <t>円</t>
  </si>
  <si>
    <t>円</t>
  </si>
  <si>
    <t>ｋｇ</t>
  </si>
  <si>
    <t>円</t>
  </si>
  <si>
    <t>サトウキビ</t>
  </si>
  <si>
    <t>水稲</t>
  </si>
  <si>
    <t>パイン</t>
  </si>
  <si>
    <t>マンゴー</t>
  </si>
  <si>
    <t>かぼちゃ</t>
  </si>
  <si>
    <r>
      <rPr>
        <sz val="10"/>
        <rFont val="ＭＳ Ｐゴシック"/>
        <family val="3"/>
      </rPr>
      <t>水稲１期</t>
    </r>
    <r>
      <rPr>
        <sz val="10"/>
        <rFont val="Arial"/>
        <family val="2"/>
      </rPr>
      <t>(2</t>
    </r>
    <r>
      <rPr>
        <sz val="10"/>
        <rFont val="ＭＳ Ｐゴシック"/>
        <family val="3"/>
      </rPr>
      <t>期作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</si>
  <si>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>水稲２期</t>
    </r>
    <r>
      <rPr>
        <sz val="10"/>
        <rFont val="Arial"/>
        <family val="2"/>
      </rPr>
      <t>(2</t>
    </r>
    <r>
      <rPr>
        <sz val="10"/>
        <rFont val="ＭＳ Ｐゴシック"/>
        <family val="3"/>
      </rPr>
      <t>期作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</si>
  <si>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>ゴーヤー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施設</t>
    </r>
    <r>
      <rPr>
        <sz val="10"/>
        <rFont val="Arial"/>
        <family val="2"/>
      </rPr>
      <t>)</t>
    </r>
  </si>
  <si>
    <t>販売経費</t>
  </si>
  <si>
    <t>春+株</t>
  </si>
  <si>
    <t>肥料費</t>
  </si>
  <si>
    <t>肥料費</t>
  </si>
  <si>
    <t>肥料費</t>
  </si>
  <si>
    <t>H24品目別技術体系・収益性事例</t>
  </si>
  <si>
    <t>サトウキビ(春+株)</t>
  </si>
  <si>
    <t>パイン</t>
  </si>
  <si>
    <t>4年２収</t>
  </si>
  <si>
    <t>3年1収</t>
  </si>
  <si>
    <r>
      <t>5000</t>
    </r>
    <r>
      <rPr>
        <sz val="11"/>
        <rFont val="ＭＳ Ｐゴシック"/>
        <family val="3"/>
      </rPr>
      <t>円</t>
    </r>
    <r>
      <rPr>
        <sz val="11"/>
        <rFont val="Arial"/>
        <family val="2"/>
      </rPr>
      <t>×</t>
    </r>
    <r>
      <rPr>
        <sz val="11"/>
        <rFont val="ＭＳ Ｐゴシック"/>
        <family val="3"/>
      </rPr>
      <t>出荷頭数の８割</t>
    </r>
  </si>
  <si>
    <r>
      <rPr>
        <sz val="11"/>
        <rFont val="ＭＳ Ｐゴシック"/>
        <family val="3"/>
      </rPr>
      <t>指標</t>
    </r>
    <r>
      <rPr>
        <sz val="11"/>
        <rFont val="Arial"/>
        <family val="2"/>
      </rPr>
      <t>500,000×0.5</t>
    </r>
    <r>
      <rPr>
        <sz val="11"/>
        <rFont val="ＭＳ Ｐゴシック"/>
        <family val="3"/>
      </rPr>
      <t>＝</t>
    </r>
    <r>
      <rPr>
        <sz val="11"/>
        <rFont val="Arial"/>
        <family val="2"/>
      </rPr>
      <t>250,000</t>
    </r>
  </si>
  <si>
    <r>
      <rPr>
        <sz val="10"/>
        <rFont val="ＭＳ Ｐゴシック"/>
        <family val="3"/>
      </rPr>
      <t>サトウキビ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春</t>
    </r>
    <r>
      <rPr>
        <sz val="10"/>
        <rFont val="Arial"/>
        <family val="2"/>
      </rPr>
      <t>+</t>
    </r>
    <r>
      <rPr>
        <sz val="10"/>
        <rFont val="ＭＳ Ｐゴシック"/>
        <family val="3"/>
      </rPr>
      <t>株</t>
    </r>
    <r>
      <rPr>
        <sz val="10"/>
        <rFont val="Arial"/>
        <family val="2"/>
      </rPr>
      <t>)</t>
    </r>
  </si>
  <si>
    <r>
      <rPr>
        <sz val="10"/>
        <rFont val="ＭＳ Ｐゴシック"/>
        <family val="3"/>
      </rPr>
      <t>サトウキビ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夏</t>
    </r>
    <r>
      <rPr>
        <sz val="10"/>
        <rFont val="Arial"/>
        <family val="2"/>
      </rPr>
      <t>)</t>
    </r>
  </si>
  <si>
    <t>夏</t>
  </si>
  <si>
    <t>草地更新費</t>
  </si>
  <si>
    <t>妻</t>
  </si>
  <si>
    <t>合計(時間)</t>
  </si>
  <si>
    <t>合計(時間)</t>
  </si>
  <si>
    <t>北部</t>
  </si>
  <si>
    <t>アテモヤ（冬果）</t>
  </si>
  <si>
    <t>雲州みかん（露地）</t>
  </si>
  <si>
    <t>ゴーヤー</t>
  </si>
  <si>
    <t>八重山</t>
  </si>
  <si>
    <t>宮古</t>
  </si>
  <si>
    <t>トルコギキョウ（4-5月出荷）</t>
  </si>
  <si>
    <t>かぼちゃ（抑制・露地）</t>
  </si>
  <si>
    <t>南部</t>
  </si>
  <si>
    <t>モンステラ（周年）</t>
  </si>
  <si>
    <t>かんしょ（加工用・春植）</t>
  </si>
  <si>
    <t>H27.3品目別技術体系・収益性事例</t>
  </si>
  <si>
    <t>第１－３号様式（第５条関係）</t>
  </si>
  <si>
    <t>青年等就農計画</t>
  </si>
  <si>
    <t>１　就農理由および農業経営の構想</t>
  </si>
  <si>
    <t>(１)就農理由</t>
  </si>
  <si>
    <t>(２)将来の農業経営の理念および構想</t>
  </si>
  <si>
    <t>２　農業経営の現状及び目標</t>
  </si>
  <si>
    <t>(１)農業経営の概要</t>
  </si>
  <si>
    <t>就 農 地</t>
  </si>
  <si>
    <t>農業経営開始日</t>
  </si>
  <si>
    <t>年　　 月　　 日</t>
  </si>
  <si>
    <t>就農形態</t>
  </si>
  <si>
    <t>　□新たに農業経営を開始</t>
  </si>
  <si>
    <t>（該当する形態に</t>
  </si>
  <si>
    <t>　□親族の農業経営とは別に新たな部門を開始</t>
  </si>
  <si>
    <t>　レ印）</t>
  </si>
  <si>
    <t>　□親族の農業経営と同じ部門を開始し、後に継承</t>
  </si>
  <si>
    <t>　□親族の農業経営を継承</t>
  </si>
  <si>
    <t xml:space="preserve">     　 □全体、□一部門</t>
  </si>
  <si>
    <t>継承する経営での従事期間　　　　年　　か月</t>
  </si>
  <si>
    <t>目標とする営農類型</t>
  </si>
  <si>
    <t>将来の農業経営
の構想</t>
  </si>
  <si>
    <t>年間農業所得及び年間労働時間の現状及び目標</t>
  </si>
  <si>
    <t>現状</t>
  </si>
  <si>
    <t>目標（　　年）</t>
  </si>
  <si>
    <t>年間農業所得</t>
  </si>
  <si>
    <t>年間労働時間</t>
  </si>
  <si>
    <t>農業経営の規模に関する目標</t>
  </si>
  <si>
    <t>現状</t>
  </si>
  <si>
    <t>目標（　　年）</t>
  </si>
  <si>
    <t>作目・部門名</t>
  </si>
  <si>
    <t>作付面積</t>
  </si>
  <si>
    <t>生産量</t>
  </si>
  <si>
    <t>飼養頭数</t>
  </si>
  <si>
    <t>自家経営の現状(親族が農業経営を行っている場合)</t>
  </si>
  <si>
    <t>経営主名または法人名</t>
  </si>
  <si>
    <t>（申請者との続柄　：　　　　　　）</t>
  </si>
  <si>
    <t>経営主または法人の住所</t>
  </si>
  <si>
    <t>農業者年金の加入状況</t>
  </si>
  <si>
    <t>経営委譲年金裁定請求の予定</t>
  </si>
  <si>
    <t>経営作目</t>
  </si>
  <si>
    <t>作付面積・
飼養頭数</t>
  </si>
  <si>
    <t>売上高</t>
  </si>
  <si>
    <t>労働力</t>
  </si>
  <si>
    <t>家族</t>
  </si>
  <si>
    <t>経営の特徴</t>
  </si>
  <si>
    <t>認定申請者の農業経営用預貯金口座の開設時期</t>
  </si>
  <si>
    <t>年</t>
  </si>
  <si>
    <t>農地の確保状況</t>
  </si>
  <si>
    <t>面積</t>
  </si>
  <si>
    <t>権利</t>
  </si>
  <si>
    <t>農業委員会
届出の有無</t>
  </si>
  <si>
    <t>字</t>
  </si>
  <si>
    <t>所有 ・ 借地</t>
  </si>
  <si>
    <t>有　・　無</t>
  </si>
  <si>
    <t>経営に対する現状と今後の対策</t>
  </si>
  <si>
    <t>経営管理</t>
  </si>
  <si>
    <t>技術対策</t>
  </si>
  <si>
    <t>農地確保</t>
  </si>
  <si>
    <t>労働体制</t>
  </si>
  <si>
    <t>資金調達</t>
  </si>
  <si>
    <t>販売対策</t>
  </si>
  <si>
    <t>農業経営の規模に関する目標</t>
  </si>
  <si>
    <t>目標（　　年）</t>
  </si>
  <si>
    <t>所有地</t>
  </si>
  <si>
    <t>借入地</t>
  </si>
  <si>
    <t>単純計</t>
  </si>
  <si>
    <t>換算後</t>
  </si>
  <si>
    <t>農畜産物の加工・販売その他の関連・附帯事業</t>
  </si>
  <si>
    <t>事業名</t>
  </si>
  <si>
    <t>生産方式に関する目標</t>
  </si>
  <si>
    <t>型式、性能、規模等及びその台数</t>
  </si>
  <si>
    <t>導入予定の
機械・施設</t>
  </si>
  <si>
    <t>規模、構造等</t>
  </si>
  <si>
    <t>導入予定時期</t>
  </si>
  <si>
    <t>費用</t>
  </si>
  <si>
    <t>農業経営の構成</t>
  </si>
  <si>
    <t>氏名
(法人は役員
の氏名)</t>
  </si>
  <si>
    <t>代表者との続柄
(法人は役職名)</t>
  </si>
  <si>
    <t>年間農業従
事日数(日)</t>
  </si>
  <si>
    <t>常時雇用</t>
  </si>
  <si>
    <t>人</t>
  </si>
  <si>
    <t>臨時雇用</t>
  </si>
  <si>
    <t>○農業経営基盤強化促進法第４条第２項第２号に掲げる者及び法人の役員（同号に掲げる者に限る。)</t>
  </si>
  <si>
    <t>が有する知識及び技能に関する事項</t>
  </si>
  <si>
    <t>経歴</t>
  </si>
  <si>
    <t>職務内容</t>
  </si>
  <si>
    <t>勤務機関名</t>
  </si>
  <si>
    <t>在職期間</t>
  </si>
  <si>
    <t>上記の住所</t>
  </si>
  <si>
    <t>退職年月日</t>
  </si>
  <si>
    <t>資格等</t>
  </si>
  <si>
    <t>農業経営に活用できる
知識及び技能の内容</t>
  </si>
  <si>
    <t>注：法人の場合は、役員（農業経営基盤強化促進法第４条第２項第２号に掲げる者に限る。）ごとに作</t>
  </si>
  <si>
    <t>成すること。</t>
  </si>
  <si>
    <t>技術・知識の習得状況</t>
  </si>
  <si>
    <t>研修先等の名称</t>
  </si>
  <si>
    <t>所在地</t>
  </si>
  <si>
    <t>専攻・営農部門</t>
  </si>
  <si>
    <t>研修等期間</t>
  </si>
  <si>
    <t>研修内容等</t>
  </si>
  <si>
    <t>既に活用した制度</t>
  </si>
  <si>
    <t>注：研修カリキュラム等を添付すること。法人の場合は、役員（農業経営基盤強化促進法第４条第２項</t>
  </si>
  <si>
    <t>第１号及び第２号に掲げる者に限る。）ごとに作成すること。</t>
  </si>
  <si>
    <t>他市町村の認定状況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</si>
</sst>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#,##0_ ;[Red]\-#,##0\ "/>
    <numFmt numFmtId="179" formatCode="#,##0.0_ ;[Red]\-#,##0.0\ "/>
    <numFmt numFmtId="180" formatCode="#,##0.0;[Red]\-#,##0.0"/>
    <numFmt numFmtId="181" formatCode="#,##0_);[Red]\(#,##0\)"/>
    <numFmt numFmtId="182" formatCode="0_ "/>
    <numFmt numFmtId="183" formatCode="0_);[Red]\(0\)"/>
    <numFmt numFmtId="184" formatCode="#,##0.00_ "/>
    <numFmt numFmtId="185" formatCode="0.0_ "/>
    <numFmt numFmtId="186" formatCode="#,##0.0_ "/>
    <numFmt numFmtId="187" formatCode="0.0_);[Red]\(0.0\)"/>
    <numFmt numFmtId="188" formatCode="#,##0.0_);[Red]\(#,##0.0\)"/>
    <numFmt numFmtId="189" formatCode="0.00_ "/>
    <numFmt numFmtId="190" formatCode="#,##0;&quot;△ &quot;#,##0"/>
    <numFmt numFmtId="191" formatCode="[DBNum3]&quot;平成&quot;#&quot;年度&quot;"/>
    <numFmt numFmtId="192" formatCode="[DBNum3]#&quot;年度&quot;"/>
    <numFmt numFmtId="193" formatCode="&quot;(&quot;#,###&quot;)&quot;"/>
    <numFmt numFmtId="194" formatCode="&quot;(&quot;#,##0&quot;)&quot;"/>
    <numFmt numFmtId="195" formatCode="&quot;（経産牛数）×（更新率&quot;0.##&quot;）×（育成期間9ヶ月／14ヶ月）&quot;"/>
    <numFmt numFmtId="196" formatCode="&quot;（経産牛数）×（更新率&quot;0.##&quot;）×（育成期間5ヶ月／12ヶ月）&quot;"/>
    <numFmt numFmtId="197" formatCode="&quot;（繁殖牛数）×（生産率&quot;0.##&quot;）×（出荷まで8ヶ月／12ヶ月）&quot;"/>
    <numFmt numFmtId="198" formatCode="&quot;（繁殖牛数）×（生産率&quot;0.##&quot;）&quot;"/>
    <numFmt numFmtId="199" formatCode="&quot;更新率&quot;0.##"/>
    <numFmt numFmtId="200" formatCode="&quot;（子牛年間繰り入れ頭数）×（１－事故率&quot;0.##&quot;）－（育成牛繰り入れ頭数）&quot;"/>
    <numFmt numFmtId="201" formatCode="&quot;（飼養頭数）×（365日／肥育期間570日）×（１－事故率&quot;0.##&quot;）&quot;"/>
    <numFmt numFmtId="202" formatCode="&quot;現状　（&quot;#&quot;年）&quot;"/>
    <numFmt numFmtId="203" formatCode="&quot;目標　（&quot;#&quot;年）&quot;"/>
  </numFmts>
  <fonts count="8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明朝"/>
      <family val="1"/>
    </font>
    <font>
      <b/>
      <sz val="11"/>
      <name val="ＭＳ Ｐ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6"/>
      <name val="ＭＳ Ｐ明朝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6"/>
      <name val="HGｺﾞｼｯｸE"/>
      <family val="3"/>
    </font>
    <font>
      <sz val="11"/>
      <name val="HGｺﾞｼｯｸE"/>
      <family val="3"/>
    </font>
    <font>
      <sz val="8"/>
      <name val="Arial"/>
      <family val="2"/>
    </font>
    <font>
      <sz val="14"/>
      <name val="HGｺﾞｼｯｸE"/>
      <family val="3"/>
    </font>
    <font>
      <sz val="16"/>
      <name val="ＭＳ Ｐゴシック"/>
      <family val="3"/>
    </font>
    <font>
      <b/>
      <sz val="11"/>
      <name val="Arial"/>
      <family val="2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ＭＳ Ｐ明朝"/>
      <family val="1"/>
    </font>
    <font>
      <sz val="9"/>
      <name val="MS UI Gothic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4"/>
      <name val="Calibri"/>
      <family val="3"/>
    </font>
    <font>
      <sz val="11"/>
      <name val="Calibri"/>
      <family val="3"/>
    </font>
    <font>
      <sz val="11"/>
      <color theme="0"/>
      <name val="ＭＳ Ｐ明朝"/>
      <family val="1"/>
    </font>
    <font>
      <sz val="12"/>
      <name val="Calibri"/>
      <family val="3"/>
    </font>
    <font>
      <sz val="10"/>
      <name val="Calibri"/>
      <family val="3"/>
    </font>
    <font>
      <sz val="14"/>
      <color rgb="FF000000"/>
      <name val="ＭＳ Ｐ明朝"/>
      <family val="1"/>
    </font>
    <font>
      <sz val="11"/>
      <color rgb="FF00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 style="hair"/>
      <right/>
      <top/>
      <bottom style="thin"/>
    </border>
    <border>
      <left style="thin"/>
      <right style="hair"/>
      <top style="hair"/>
      <bottom style="hair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 style="thin"/>
    </border>
    <border>
      <left style="hair"/>
      <right/>
      <top/>
      <bottom style="hair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/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 style="hair">
        <color theme="0" tint="-0.4999699890613556"/>
      </top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/>
    </border>
    <border>
      <left style="hair">
        <color theme="0" tint="-0.4999699890613556"/>
      </left>
      <right style="thin">
        <color theme="0" tint="-0.4999699890613556"/>
      </right>
      <top style="hair">
        <color theme="0" tint="-0.4999699890613556"/>
      </top>
      <bottom/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/>
      <bottom style="hair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hair">
        <color theme="0" tint="-0.4999699890613556"/>
      </right>
      <top/>
      <bottom style="hair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/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 style="thin">
        <color theme="0" tint="-0.4999699890613556"/>
      </right>
      <top style="hair">
        <color theme="0" tint="-0.4999699890613556"/>
      </top>
      <bottom/>
    </border>
    <border>
      <left style="thin">
        <color theme="0" tint="-0.4999699890613556"/>
      </left>
      <right/>
      <top/>
      <bottom style="hair">
        <color theme="0" tint="-0.4999699890613556"/>
      </bottom>
    </border>
    <border>
      <left/>
      <right style="thin">
        <color theme="0" tint="-0.4999699890613556"/>
      </right>
      <top/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/>
      <bottom style="hair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/>
      <top style="hair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hair">
        <color theme="0" tint="-0.4999699890613556"/>
      </left>
      <right style="thin">
        <color theme="0" tint="-0.4999699890613556"/>
      </right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hair"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hair">
        <color theme="0" tint="-0.4999699890613556"/>
      </left>
      <right/>
      <top style="thin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 style="hair">
        <color theme="0" tint="-0.4999699890613556"/>
      </bottom>
    </border>
    <border>
      <left style="hair">
        <color theme="0" tint="-0.4999699890613556"/>
      </left>
      <right/>
      <top style="hair">
        <color theme="0" tint="-0.4999699890613556"/>
      </top>
      <bottom/>
    </border>
    <border>
      <left style="hair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hair"/>
      <right/>
      <top style="hair"/>
      <bottom/>
    </border>
    <border>
      <left style="hair"/>
      <right/>
      <top style="thin"/>
      <bottom/>
    </border>
    <border>
      <left style="hair"/>
      <right/>
      <top/>
      <bottom/>
    </border>
    <border>
      <left style="thin">
        <color theme="0" tint="-0.4999699890613556"/>
      </left>
      <right style="hair"/>
      <top style="thin">
        <color theme="0" tint="-0.4999699890613556"/>
      </top>
      <bottom style="thin">
        <color theme="0" tint="-0.4999699890613556"/>
      </bottom>
    </border>
    <border>
      <left/>
      <right/>
      <top style="hair"/>
      <bottom/>
    </border>
    <border>
      <left style="hair"/>
      <right style="hair"/>
      <top style="hair"/>
      <bottom/>
    </border>
    <border>
      <left/>
      <right/>
      <top style="thin">
        <color theme="0" tint="-0.4999699890613556"/>
      </top>
      <bottom style="hair"/>
    </border>
    <border>
      <left style="hair"/>
      <right style="hair"/>
      <top style="thin">
        <color theme="0" tint="-0.4999699890613556"/>
      </top>
      <bottom style="hair"/>
    </border>
    <border>
      <left style="hair"/>
      <right style="hair"/>
      <top style="hair"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hair"/>
    </border>
    <border>
      <left/>
      <right style="thin">
        <color theme="0" tint="-0.4999699890613556"/>
      </right>
      <top style="hair"/>
      <bottom style="hair"/>
    </border>
    <border>
      <left/>
      <right style="thin">
        <color theme="0" tint="-0.4999699890613556"/>
      </right>
      <top style="hair"/>
      <bottom/>
    </border>
    <border>
      <left/>
      <right style="thin">
        <color theme="0" tint="-0.4999699890613556"/>
      </right>
      <top/>
      <bottom style="hair"/>
    </border>
    <border>
      <left/>
      <right style="thin">
        <color theme="0" tint="-0.4999699890613556"/>
      </right>
      <top style="hair"/>
      <bottom style="thin">
        <color theme="0" tint="-0.4999699890613556"/>
      </bottom>
    </border>
    <border>
      <left style="thin">
        <color theme="0" tint="-0.4999699890613556"/>
      </left>
      <right style="hair"/>
      <top style="thin">
        <color theme="0" tint="-0.4999699890613556"/>
      </top>
      <bottom style="hair"/>
    </border>
    <border>
      <left style="hair"/>
      <right style="thin">
        <color theme="0" tint="-0.4999699890613556"/>
      </right>
      <top style="thin">
        <color theme="0" tint="-0.4999699890613556"/>
      </top>
      <bottom style="hair"/>
    </border>
    <border>
      <left style="thin">
        <color theme="0" tint="-0.4999699890613556"/>
      </left>
      <right style="hair"/>
      <top style="hair"/>
      <bottom style="hair"/>
    </border>
    <border>
      <left style="hair"/>
      <right style="thin">
        <color theme="0" tint="-0.4999699890613556"/>
      </right>
      <top style="hair"/>
      <bottom style="hair"/>
    </border>
    <border>
      <left style="thin">
        <color theme="0" tint="-0.4999699890613556"/>
      </left>
      <right style="hair"/>
      <top style="hair"/>
      <bottom/>
    </border>
    <border>
      <left style="hair"/>
      <right style="thin">
        <color theme="0" tint="-0.4999699890613556"/>
      </right>
      <top style="hair"/>
      <bottom/>
    </border>
    <border>
      <left style="thin">
        <color theme="0" tint="-0.4999699890613556"/>
      </left>
      <right style="hair"/>
      <top/>
      <bottom style="hair"/>
    </border>
    <border>
      <left style="hair"/>
      <right style="thin">
        <color theme="0" tint="-0.4999699890613556"/>
      </right>
      <top/>
      <bottom style="hair"/>
    </border>
    <border>
      <left style="thin">
        <color theme="0" tint="-0.4999699890613556"/>
      </left>
      <right style="hair"/>
      <top style="hair"/>
      <bottom style="thin">
        <color theme="0" tint="-0.4999699890613556"/>
      </bottom>
    </border>
    <border>
      <left style="hair"/>
      <right style="thin">
        <color theme="0" tint="-0.4999699890613556"/>
      </right>
      <top style="hair"/>
      <bottom style="thin">
        <color theme="0" tint="-0.4999699890613556"/>
      </bottom>
    </border>
    <border>
      <left/>
      <right style="hair"/>
      <top style="thin">
        <color theme="0" tint="-0.4999699890613556"/>
      </top>
      <bottom style="hair"/>
    </border>
    <border>
      <left style="hair"/>
      <right style="hair"/>
      <top/>
      <bottom style="thin">
        <color theme="0" tint="-0.4999699890613556"/>
      </bottom>
    </border>
    <border>
      <left/>
      <right style="hair"/>
      <top style="hair"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hair"/>
      <top/>
      <bottom style="thin">
        <color theme="0" tint="-0.4999699890613556"/>
      </bottom>
    </border>
    <border>
      <left style="hair"/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hair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hair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hair">
        <color theme="0" tint="-0.4999699890613556"/>
      </bottom>
    </border>
    <border>
      <left/>
      <right style="hair">
        <color theme="0" tint="-0.4999699890613556"/>
      </right>
      <top/>
      <bottom/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/>
      <right style="thin"/>
      <top style="hair"/>
      <bottom style="thin"/>
    </border>
    <border>
      <left/>
      <right style="thin"/>
      <top style="hair"/>
      <bottom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hair"/>
      <bottom/>
    </border>
    <border>
      <left/>
      <right style="thin"/>
      <top style="thin"/>
      <bottom style="thin"/>
    </border>
    <border>
      <left style="thin"/>
      <right style="hair"/>
      <top style="hair"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/>
      <top style="thin">
        <color theme="0" tint="-0.4999699890613556"/>
      </top>
      <bottom style="hair"/>
    </border>
    <border>
      <left style="hair"/>
      <right/>
      <top style="hair"/>
      <bottom style="thin">
        <color theme="0" tint="-0.4999699890613556"/>
      </bottom>
    </border>
    <border>
      <left/>
      <right/>
      <top style="hair"/>
      <bottom style="thin">
        <color theme="0" tint="-0.4999699890613556"/>
      </bottom>
    </border>
    <border>
      <left/>
      <right style="hair"/>
      <top/>
      <bottom style="thin">
        <color theme="0" tint="-0.4999699890613556"/>
      </bottom>
    </border>
    <border>
      <left style="hair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hair"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hair"/>
    </border>
    <border>
      <left style="thin">
        <color theme="0" tint="-0.4999699890613556"/>
      </left>
      <right/>
      <top style="thin">
        <color theme="0" tint="-0.4999699890613556"/>
      </top>
      <bottom style="hair"/>
    </border>
    <border>
      <left style="thin">
        <color theme="0" tint="-0.4999699890613556"/>
      </left>
      <right/>
      <top style="hair"/>
      <bottom style="hair"/>
    </border>
    <border>
      <left style="thin">
        <color theme="0" tint="-0.4999699890613556"/>
      </left>
      <right/>
      <top style="hair"/>
      <bottom style="thin">
        <color theme="0" tint="-0.4999699890613556"/>
      </bottom>
    </border>
    <border>
      <left/>
      <right style="hair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hair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hair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hair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thin">
        <color theme="0" tint="-0.4999699890613556"/>
      </top>
      <bottom/>
    </border>
    <border>
      <left style="hair">
        <color theme="0" tint="-0.4999699890613556"/>
      </left>
      <right style="hair">
        <color theme="0" tint="-0.4999699890613556"/>
      </right>
      <top style="thin">
        <color theme="0" tint="-0.4999699890613556"/>
      </top>
      <bottom/>
    </border>
    <border>
      <left style="medium">
        <color theme="0" tint="-0.4999699890613556"/>
      </left>
      <right style="hair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/>
      <top style="hair">
        <color theme="0" tint="-0.4999699890613556"/>
      </top>
      <bottom style="thin">
        <color theme="0" tint="-0.4999699890613556"/>
      </bottom>
    </border>
    <border diagonalDown="1">
      <left style="hair">
        <color theme="0" tint="-0.4999699890613556"/>
      </left>
      <right/>
      <top style="thin">
        <color theme="0" tint="-0.4999699890613556"/>
      </top>
      <bottom/>
      <diagonal style="hair">
        <color theme="0" tint="-0.4999699890613556"/>
      </diagonal>
    </border>
    <border diagonalDown="1">
      <left/>
      <right style="thin">
        <color theme="0" tint="-0.4999699890613556"/>
      </right>
      <top style="thin">
        <color theme="0" tint="-0.4999699890613556"/>
      </top>
      <bottom/>
      <diagonal style="hair">
        <color theme="0" tint="-0.4999699890613556"/>
      </diagonal>
    </border>
    <border diagonalDown="1">
      <left style="hair">
        <color theme="0" tint="-0.4999699890613556"/>
      </left>
      <right/>
      <top/>
      <bottom style="thin">
        <color theme="0" tint="-0.4999699890613556"/>
      </bottom>
      <diagonal style="hair">
        <color theme="0" tint="-0.4999699890613556"/>
      </diagonal>
    </border>
    <border diagonalDown="1">
      <left/>
      <right style="thin">
        <color theme="0" tint="-0.4999699890613556"/>
      </right>
      <top/>
      <bottom style="thin">
        <color theme="0" tint="-0.4999699890613556"/>
      </bottom>
      <diagonal style="hair">
        <color theme="0" tint="-0.4999699890613556"/>
      </diagonal>
    </border>
    <border>
      <left style="hair">
        <color theme="0" tint="-0.4999699890613556"/>
      </left>
      <right/>
      <top style="hair">
        <color theme="0" tint="-0.4999699890613556"/>
      </top>
      <bottom style="thin">
        <color theme="0" tint="-0.4999699890613556"/>
      </bottom>
    </border>
    <border>
      <left/>
      <right style="hair">
        <color theme="0" tint="-0.4999699890613556"/>
      </right>
      <top style="thin">
        <color theme="0" tint="-0.4999699890613556"/>
      </top>
      <bottom/>
    </border>
    <border>
      <left style="hair">
        <color theme="0" tint="-0.4999699890613556"/>
      </left>
      <right/>
      <top style="thin">
        <color theme="0" tint="-0.4999699890613556"/>
      </top>
      <bottom/>
    </border>
    <border>
      <left style="hair">
        <color theme="0" tint="-0.4999699890613556"/>
      </left>
      <right/>
      <top/>
      <bottom style="thin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/>
    </border>
    <border>
      <left style="hair">
        <color theme="0" tint="-0.4999699890613556"/>
      </left>
      <right style="thin"/>
      <top style="thin"/>
      <bottom style="thin"/>
    </border>
    <border>
      <left style="thin"/>
      <right style="hair">
        <color theme="0" tint="-0.4999699890613556"/>
      </right>
      <top style="thin"/>
      <bottom style="thin"/>
    </border>
    <border>
      <left style="thin">
        <color theme="0" tint="-0.4999699890613556"/>
      </left>
      <right style="hair">
        <color theme="0" tint="-0.4999699890613556"/>
      </right>
      <top/>
      <bottom/>
    </border>
    <border>
      <left style="hair">
        <color theme="0" tint="-0.4999699890613556"/>
      </left>
      <right/>
      <top/>
      <bottom style="hair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1133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181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38" fontId="18" fillId="0" borderId="0" xfId="49" applyFont="1" applyFill="1" applyAlignment="1">
      <alignment/>
    </xf>
    <xf numFmtId="38" fontId="18" fillId="0" borderId="0" xfId="49" applyFont="1" applyFill="1" applyAlignment="1">
      <alignment horizontal="right"/>
    </xf>
    <xf numFmtId="0" fontId="11" fillId="0" borderId="0" xfId="0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left" vertical="center"/>
    </xf>
    <xf numFmtId="38" fontId="17" fillId="0" borderId="0" xfId="49" applyFont="1" applyFill="1" applyAlignment="1">
      <alignment/>
    </xf>
    <xf numFmtId="183" fontId="9" fillId="0" borderId="0" xfId="0" applyNumberFormat="1" applyFont="1" applyFill="1" applyBorder="1" applyAlignment="1">
      <alignment horizontal="center" vertical="center"/>
    </xf>
    <xf numFmtId="183" fontId="12" fillId="0" borderId="0" xfId="49" applyNumberFormat="1" applyFont="1" applyFill="1" applyBorder="1" applyAlignment="1">
      <alignment horizontal="center" vertical="center"/>
    </xf>
    <xf numFmtId="181" fontId="9" fillId="0" borderId="0" xfId="49" applyNumberFormat="1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 horizontal="center" vertical="center" shrinkToFit="1"/>
    </xf>
    <xf numFmtId="181" fontId="9" fillId="0" borderId="0" xfId="49" applyNumberFormat="1" applyFont="1" applyFill="1" applyBorder="1" applyAlignment="1">
      <alignment horizontal="center" vertical="center" shrinkToFit="1"/>
    </xf>
    <xf numFmtId="183" fontId="9" fillId="0" borderId="0" xfId="0" applyNumberFormat="1" applyFont="1" applyFill="1" applyBorder="1" applyAlignment="1">
      <alignment horizontal="center" vertical="center" shrinkToFit="1"/>
    </xf>
    <xf numFmtId="181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41" fontId="5" fillId="0" borderId="0" xfId="49" applyNumberFormat="1" applyFont="1" applyFill="1" applyBorder="1" applyAlignment="1">
      <alignment horizontal="right"/>
    </xf>
    <xf numFmtId="38" fontId="28" fillId="0" borderId="0" xfId="49" applyFont="1" applyFill="1" applyAlignment="1">
      <alignment/>
    </xf>
    <xf numFmtId="0" fontId="29" fillId="0" borderId="0" xfId="0" applyFont="1" applyFill="1" applyAlignment="1">
      <alignment/>
    </xf>
    <xf numFmtId="38" fontId="3" fillId="0" borderId="0" xfId="49" applyFont="1" applyFill="1" applyAlignment="1">
      <alignment/>
    </xf>
    <xf numFmtId="38" fontId="26" fillId="0" borderId="0" xfId="49" applyFont="1" applyFill="1" applyAlignment="1">
      <alignment/>
    </xf>
    <xf numFmtId="38" fontId="26" fillId="0" borderId="0" xfId="49" applyFont="1" applyFill="1" applyBorder="1" applyAlignment="1">
      <alignment/>
    </xf>
    <xf numFmtId="38" fontId="3" fillId="0" borderId="10" xfId="49" applyFont="1" applyFill="1" applyBorder="1" applyAlignment="1">
      <alignment/>
    </xf>
    <xf numFmtId="38" fontId="3" fillId="0" borderId="11" xfId="49" applyFont="1" applyFill="1" applyBorder="1" applyAlignment="1">
      <alignment/>
    </xf>
    <xf numFmtId="38" fontId="3" fillId="0" borderId="12" xfId="49" applyFont="1" applyFill="1" applyBorder="1" applyAlignment="1">
      <alignment horizontal="right"/>
    </xf>
    <xf numFmtId="38" fontId="28" fillId="0" borderId="13" xfId="49" applyFont="1" applyFill="1" applyBorder="1" applyAlignment="1">
      <alignment/>
    </xf>
    <xf numFmtId="38" fontId="28" fillId="0" borderId="0" xfId="49" applyFont="1" applyFill="1" applyBorder="1" applyAlignment="1">
      <alignment/>
    </xf>
    <xf numFmtId="38" fontId="28" fillId="0" borderId="0" xfId="49" applyFont="1" applyFill="1" applyBorder="1" applyAlignment="1">
      <alignment horizontal="right"/>
    </xf>
    <xf numFmtId="38" fontId="28" fillId="0" borderId="14" xfId="49" applyFont="1" applyFill="1" applyBorder="1" applyAlignment="1">
      <alignment horizontal="right"/>
    </xf>
    <xf numFmtId="38" fontId="28" fillId="0" borderId="15" xfId="49" applyFont="1" applyFill="1" applyBorder="1" applyAlignment="1">
      <alignment/>
    </xf>
    <xf numFmtId="38" fontId="28" fillId="0" borderId="16" xfId="49" applyFont="1" applyFill="1" applyBorder="1" applyAlignment="1">
      <alignment/>
    </xf>
    <xf numFmtId="38" fontId="28" fillId="0" borderId="17" xfId="49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38" fontId="3" fillId="0" borderId="0" xfId="49" applyFont="1" applyFill="1" applyAlignment="1">
      <alignment vertical="center"/>
    </xf>
    <xf numFmtId="38" fontId="18" fillId="0" borderId="0" xfId="49" applyFont="1" applyFill="1" applyAlignment="1">
      <alignment vertical="center"/>
    </xf>
    <xf numFmtId="38" fontId="3" fillId="0" borderId="0" xfId="49" applyFont="1" applyFill="1" applyBorder="1" applyAlignment="1">
      <alignment horizontal="distributed"/>
    </xf>
    <xf numFmtId="38" fontId="28" fillId="0" borderId="18" xfId="49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8" fontId="3" fillId="0" borderId="0" xfId="49" applyFont="1" applyFill="1" applyAlignment="1">
      <alignment horizontal="center"/>
    </xf>
    <xf numFmtId="38" fontId="29" fillId="0" borderId="19" xfId="49" applyFont="1" applyFill="1" applyBorder="1" applyAlignment="1">
      <alignment horizontal="right" vertical="center"/>
    </xf>
    <xf numFmtId="38" fontId="29" fillId="0" borderId="20" xfId="49" applyFont="1" applyFill="1" applyBorder="1" applyAlignment="1">
      <alignment horizontal="right" vertical="center"/>
    </xf>
    <xf numFmtId="38" fontId="29" fillId="0" borderId="21" xfId="49" applyFont="1" applyFill="1" applyBorder="1" applyAlignment="1">
      <alignment horizontal="right" vertical="center"/>
    </xf>
    <xf numFmtId="38" fontId="29" fillId="0" borderId="19" xfId="49" applyFont="1" applyFill="1" applyBorder="1" applyAlignment="1">
      <alignment horizontal="right" vertical="center" shrinkToFit="1"/>
    </xf>
    <xf numFmtId="38" fontId="3" fillId="0" borderId="0" xfId="49" applyFont="1" applyFill="1" applyBorder="1" applyAlignment="1">
      <alignment horizontal="right"/>
    </xf>
    <xf numFmtId="38" fontId="28" fillId="0" borderId="22" xfId="49" applyFont="1" applyFill="1" applyBorder="1" applyAlignment="1">
      <alignment/>
    </xf>
    <xf numFmtId="38" fontId="28" fillId="0" borderId="23" xfId="49" applyFont="1" applyFill="1" applyBorder="1" applyAlignment="1">
      <alignment horizontal="right"/>
    </xf>
    <xf numFmtId="38" fontId="28" fillId="0" borderId="24" xfId="49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38" fontId="28" fillId="0" borderId="26" xfId="49" applyFont="1" applyFill="1" applyBorder="1" applyAlignment="1">
      <alignment horizontal="right"/>
    </xf>
    <xf numFmtId="38" fontId="28" fillId="0" borderId="27" xfId="49" applyFont="1" applyFill="1" applyBorder="1" applyAlignment="1">
      <alignment horizontal="right"/>
    </xf>
    <xf numFmtId="38" fontId="28" fillId="0" borderId="28" xfId="49" applyFont="1" applyFill="1" applyBorder="1" applyAlignment="1">
      <alignment horizontal="right"/>
    </xf>
    <xf numFmtId="38" fontId="28" fillId="0" borderId="16" xfId="49" applyFont="1" applyFill="1" applyBorder="1" applyAlignment="1">
      <alignment horizontal="right"/>
    </xf>
    <xf numFmtId="38" fontId="3" fillId="0" borderId="29" xfId="49" applyFont="1" applyFill="1" applyBorder="1" applyAlignment="1">
      <alignment/>
    </xf>
    <xf numFmtId="38" fontId="3" fillId="0" borderId="22" xfId="49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28" fillId="0" borderId="30" xfId="49" applyFont="1" applyFill="1" applyBorder="1" applyAlignment="1">
      <alignment horizontal="right"/>
    </xf>
    <xf numFmtId="0" fontId="28" fillId="0" borderId="21" xfId="0" applyFont="1" applyFill="1" applyBorder="1" applyAlignment="1">
      <alignment horizontal="right"/>
    </xf>
    <xf numFmtId="0" fontId="28" fillId="0" borderId="31" xfId="0" applyFont="1" applyFill="1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38" fontId="28" fillId="0" borderId="28" xfId="49" applyFont="1" applyFill="1" applyBorder="1" applyAlignment="1">
      <alignment horizontal="right" vertical="center"/>
    </xf>
    <xf numFmtId="38" fontId="28" fillId="0" borderId="16" xfId="49" applyFont="1" applyFill="1" applyBorder="1" applyAlignment="1">
      <alignment horizontal="right" vertical="center"/>
    </xf>
    <xf numFmtId="0" fontId="28" fillId="0" borderId="32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right"/>
    </xf>
    <xf numFmtId="38" fontId="3" fillId="0" borderId="33" xfId="49" applyFont="1" applyFill="1" applyBorder="1" applyAlignment="1">
      <alignment/>
    </xf>
    <xf numFmtId="0" fontId="28" fillId="0" borderId="34" xfId="49" applyNumberFormat="1" applyFont="1" applyFill="1" applyBorder="1" applyAlignment="1">
      <alignment horizontal="right"/>
    </xf>
    <xf numFmtId="0" fontId="28" fillId="0" borderId="35" xfId="49" applyNumberFormat="1" applyFont="1" applyFill="1" applyBorder="1" applyAlignment="1">
      <alignment horizontal="right"/>
    </xf>
    <xf numFmtId="0" fontId="28" fillId="0" borderId="36" xfId="49" applyNumberFormat="1" applyFont="1" applyFill="1" applyBorder="1" applyAlignment="1">
      <alignment horizontal="right"/>
    </xf>
    <xf numFmtId="0" fontId="28" fillId="0" borderId="30" xfId="49" applyNumberFormat="1" applyFont="1" applyFill="1" applyBorder="1" applyAlignment="1">
      <alignment horizontal="right"/>
    </xf>
    <xf numFmtId="38" fontId="28" fillId="0" borderId="37" xfId="49" applyFont="1" applyFill="1" applyBorder="1" applyAlignment="1">
      <alignment horizontal="right"/>
    </xf>
    <xf numFmtId="38" fontId="27" fillId="0" borderId="0" xfId="49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38" fontId="28" fillId="0" borderId="0" xfId="49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9" xfId="0" applyFont="1" applyBorder="1" applyAlignment="1">
      <alignment horizontal="center" vertical="center"/>
    </xf>
    <xf numFmtId="38" fontId="28" fillId="0" borderId="19" xfId="49" applyFont="1" applyBorder="1" applyAlignment="1">
      <alignment horizontal="center" vertical="center"/>
    </xf>
    <xf numFmtId="0" fontId="28" fillId="0" borderId="19" xfId="0" applyFont="1" applyBorder="1" applyAlignment="1">
      <alignment horizontal="distributed" vertical="center"/>
    </xf>
    <xf numFmtId="38" fontId="28" fillId="0" borderId="19" xfId="49" applyFont="1" applyBorder="1" applyAlignment="1">
      <alignment vertical="center"/>
    </xf>
    <xf numFmtId="38" fontId="28" fillId="0" borderId="19" xfId="49" applyFont="1" applyBorder="1" applyAlignment="1">
      <alignment horizontal="right" vertical="center"/>
    </xf>
    <xf numFmtId="179" fontId="28" fillId="0" borderId="19" xfId="49" applyNumberFormat="1" applyFont="1" applyBorder="1" applyAlignment="1">
      <alignment horizontal="right" vertical="center"/>
    </xf>
    <xf numFmtId="180" fontId="28" fillId="0" borderId="19" xfId="49" applyNumberFormat="1" applyFont="1" applyBorder="1" applyAlignment="1">
      <alignment horizontal="right" vertical="center"/>
    </xf>
    <xf numFmtId="0" fontId="28" fillId="0" borderId="19" xfId="0" applyFont="1" applyBorder="1" applyAlignment="1">
      <alignment horizontal="center" vertical="center" shrinkToFit="1"/>
    </xf>
    <xf numFmtId="38" fontId="28" fillId="0" borderId="19" xfId="49" applyFont="1" applyBorder="1" applyAlignment="1">
      <alignment horizontal="center" vertical="center" wrapText="1"/>
    </xf>
    <xf numFmtId="38" fontId="28" fillId="0" borderId="19" xfId="49" applyFont="1" applyBorder="1" applyAlignment="1">
      <alignment vertical="center" wrapText="1"/>
    </xf>
    <xf numFmtId="180" fontId="28" fillId="0" borderId="19" xfId="49" applyNumberFormat="1" applyFont="1" applyBorder="1" applyAlignment="1">
      <alignment vertical="center"/>
    </xf>
    <xf numFmtId="40" fontId="28" fillId="0" borderId="19" xfId="49" applyNumberFormat="1" applyFont="1" applyBorder="1" applyAlignment="1">
      <alignment vertical="center"/>
    </xf>
    <xf numFmtId="178" fontId="28" fillId="0" borderId="19" xfId="49" applyNumberFormat="1" applyFont="1" applyBorder="1" applyAlignment="1">
      <alignment horizontal="right" vertical="center"/>
    </xf>
    <xf numFmtId="38" fontId="28" fillId="0" borderId="19" xfId="49" applyFont="1" applyBorder="1" applyAlignment="1">
      <alignment horizontal="right" vertical="center" wrapText="1"/>
    </xf>
    <xf numFmtId="38" fontId="28" fillId="0" borderId="19" xfId="49" applyNumberFormat="1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38" fontId="80" fillId="0" borderId="19" xfId="49" applyFont="1" applyBorder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38" fontId="27" fillId="0" borderId="19" xfId="49" applyFont="1" applyBorder="1" applyAlignment="1">
      <alignment horizontal="center" vertical="center"/>
    </xf>
    <xf numFmtId="0" fontId="27" fillId="0" borderId="19" xfId="0" applyFont="1" applyBorder="1" applyAlignment="1">
      <alignment horizontal="distributed" vertical="center"/>
    </xf>
    <xf numFmtId="38" fontId="27" fillId="0" borderId="19" xfId="49" applyFont="1" applyBorder="1" applyAlignment="1">
      <alignment vertical="center"/>
    </xf>
    <xf numFmtId="0" fontId="27" fillId="0" borderId="19" xfId="0" applyFont="1" applyBorder="1" applyAlignment="1">
      <alignment vertical="center" shrinkToFit="1"/>
    </xf>
    <xf numFmtId="38" fontId="28" fillId="0" borderId="19" xfId="49" applyFont="1" applyBorder="1" applyAlignment="1">
      <alignment vertical="center" shrinkToFit="1"/>
    </xf>
    <xf numFmtId="0" fontId="27" fillId="0" borderId="19" xfId="0" applyFont="1" applyBorder="1" applyAlignment="1">
      <alignment vertical="center"/>
    </xf>
    <xf numFmtId="38" fontId="28" fillId="0" borderId="19" xfId="49" applyFont="1" applyFill="1" applyBorder="1" applyAlignment="1">
      <alignment vertical="center"/>
    </xf>
    <xf numFmtId="0" fontId="28" fillId="0" borderId="19" xfId="0" applyFont="1" applyBorder="1" applyAlignment="1">
      <alignment horizontal="center" vertical="center" wrapText="1"/>
    </xf>
    <xf numFmtId="38" fontId="29" fillId="0" borderId="19" xfId="49" applyFont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38" fontId="27" fillId="0" borderId="19" xfId="49" applyFont="1" applyBorder="1" applyAlignment="1">
      <alignment vertical="center" shrinkToFit="1"/>
    </xf>
    <xf numFmtId="180" fontId="28" fillId="0" borderId="19" xfId="49" applyNumberFormat="1" applyFont="1" applyFill="1" applyBorder="1" applyAlignment="1">
      <alignment vertical="center"/>
    </xf>
    <xf numFmtId="38" fontId="27" fillId="0" borderId="19" xfId="49" applyFont="1" applyFill="1" applyBorder="1" applyAlignment="1">
      <alignment vertical="center"/>
    </xf>
    <xf numFmtId="3" fontId="27" fillId="0" borderId="19" xfId="49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distributed" vertical="center"/>
    </xf>
    <xf numFmtId="38" fontId="31" fillId="0" borderId="0" xfId="49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distributed"/>
    </xf>
    <xf numFmtId="38" fontId="18" fillId="0" borderId="0" xfId="49" applyFont="1" applyFill="1" applyBorder="1" applyAlignment="1">
      <alignment/>
    </xf>
    <xf numFmtId="38" fontId="34" fillId="0" borderId="0" xfId="49" applyFont="1" applyFill="1" applyBorder="1" applyAlignment="1">
      <alignment horizontal="left"/>
    </xf>
    <xf numFmtId="38" fontId="34" fillId="0" borderId="16" xfId="49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/>
    </xf>
    <xf numFmtId="0" fontId="81" fillId="0" borderId="0" xfId="0" applyFont="1" applyFill="1" applyBorder="1" applyAlignment="1">
      <alignment horizontal="left" vertical="center" indent="1"/>
    </xf>
    <xf numFmtId="0" fontId="82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vertical="center" indent="1"/>
    </xf>
    <xf numFmtId="38" fontId="15" fillId="0" borderId="0" xfId="49" applyFont="1" applyFill="1" applyAlignment="1">
      <alignment/>
    </xf>
    <xf numFmtId="0" fontId="35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183" fontId="0" fillId="0" borderId="0" xfId="49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90" fontId="28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90" fontId="28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90" fontId="28" fillId="28" borderId="45" xfId="0" applyNumberFormat="1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190" fontId="28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90" fontId="28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90" fontId="28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28" fillId="0" borderId="42" xfId="0" applyNumberFormat="1" applyFont="1" applyFill="1" applyBorder="1" applyAlignment="1">
      <alignment vertical="center"/>
    </xf>
    <xf numFmtId="0" fontId="0" fillId="0" borderId="4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50" xfId="0" applyFont="1" applyBorder="1" applyAlignment="1">
      <alignment vertical="center"/>
    </xf>
    <xf numFmtId="190" fontId="28" fillId="0" borderId="51" xfId="0" applyNumberFormat="1" applyFont="1" applyFill="1" applyBorder="1" applyAlignment="1">
      <alignment vertical="center"/>
    </xf>
    <xf numFmtId="190" fontId="2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190" fontId="28" fillId="0" borderId="56" xfId="0" applyNumberFormat="1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190" fontId="28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90" fontId="29" fillId="0" borderId="45" xfId="0" applyNumberFormat="1" applyFont="1" applyFill="1" applyBorder="1" applyAlignment="1">
      <alignment vertical="center"/>
    </xf>
    <xf numFmtId="193" fontId="29" fillId="0" borderId="45" xfId="0" applyNumberFormat="1" applyFont="1" applyFill="1" applyBorder="1" applyAlignment="1">
      <alignment vertical="center"/>
    </xf>
    <xf numFmtId="193" fontId="29" fillId="0" borderId="51" xfId="0" applyNumberFormat="1" applyFont="1" applyFill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190" fontId="29" fillId="0" borderId="40" xfId="0" applyNumberFormat="1" applyFont="1" applyFill="1" applyBorder="1" applyAlignment="1">
      <alignment vertical="center"/>
    </xf>
    <xf numFmtId="190" fontId="29" fillId="0" borderId="42" xfId="0" applyNumberFormat="1" applyFont="1" applyBorder="1" applyAlignment="1">
      <alignment vertical="center"/>
    </xf>
    <xf numFmtId="190" fontId="29" fillId="28" borderId="45" xfId="0" applyNumberFormat="1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190" fontId="29" fillId="0" borderId="45" xfId="0" applyNumberFormat="1" applyFont="1" applyBorder="1" applyAlignment="1">
      <alignment vertical="center"/>
    </xf>
    <xf numFmtId="190" fontId="29" fillId="0" borderId="56" xfId="0" applyNumberFormat="1" applyFont="1" applyFill="1" applyBorder="1" applyAlignment="1">
      <alignment vertical="center"/>
    </xf>
    <xf numFmtId="190" fontId="29" fillId="0" borderId="39" xfId="0" applyNumberFormat="1" applyFont="1" applyBorder="1" applyAlignment="1">
      <alignment vertical="center"/>
    </xf>
    <xf numFmtId="190" fontId="29" fillId="0" borderId="48" xfId="0" applyNumberFormat="1" applyFont="1" applyBorder="1" applyAlignment="1">
      <alignment vertical="center"/>
    </xf>
    <xf numFmtId="190" fontId="29" fillId="0" borderId="42" xfId="0" applyNumberFormat="1" applyFont="1" applyFill="1" applyBorder="1" applyAlignment="1">
      <alignment vertical="center"/>
    </xf>
    <xf numFmtId="190" fontId="29" fillId="0" borderId="0" xfId="0" applyNumberFormat="1" applyFont="1" applyAlignment="1">
      <alignment vertical="center"/>
    </xf>
    <xf numFmtId="181" fontId="29" fillId="0" borderId="47" xfId="0" applyNumberFormat="1" applyFont="1" applyFill="1" applyBorder="1" applyAlignment="1">
      <alignment horizontal="center" vertical="center" shrinkToFit="1"/>
    </xf>
    <xf numFmtId="181" fontId="29" fillId="0" borderId="62" xfId="0" applyNumberFormat="1" applyFont="1" applyFill="1" applyBorder="1" applyAlignment="1">
      <alignment horizontal="center" vertical="center" shrinkToFit="1"/>
    </xf>
    <xf numFmtId="181" fontId="29" fillId="0" borderId="40" xfId="0" applyNumberFormat="1" applyFont="1" applyFill="1" applyBorder="1" applyAlignment="1">
      <alignment horizontal="center" vertical="center" shrinkToFit="1"/>
    </xf>
    <xf numFmtId="181" fontId="29" fillId="0" borderId="63" xfId="0" applyNumberFormat="1" applyFont="1" applyFill="1" applyBorder="1" applyAlignment="1">
      <alignment horizontal="center" vertical="center" shrinkToFit="1"/>
    </xf>
    <xf numFmtId="181" fontId="29" fillId="0" borderId="64" xfId="0" applyNumberFormat="1" applyFont="1" applyFill="1" applyBorder="1" applyAlignment="1">
      <alignment horizontal="center" vertical="center" shrinkToFit="1"/>
    </xf>
    <xf numFmtId="181" fontId="29" fillId="0" borderId="5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190" fontId="29" fillId="0" borderId="42" xfId="0" applyNumberFormat="1" applyFont="1" applyBorder="1" applyAlignment="1">
      <alignment vertical="center" shrinkToFit="1"/>
    </xf>
    <xf numFmtId="190" fontId="29" fillId="0" borderId="45" xfId="0" applyNumberFormat="1" applyFont="1" applyFill="1" applyBorder="1" applyAlignment="1">
      <alignment vertical="center" shrinkToFit="1"/>
    </xf>
    <xf numFmtId="0" fontId="0" fillId="0" borderId="39" xfId="0" applyFont="1" applyFill="1" applyBorder="1" applyAlignment="1">
      <alignment horizontal="center" vertical="center" shrinkToFit="1"/>
    </xf>
    <xf numFmtId="193" fontId="29" fillId="0" borderId="45" xfId="0" applyNumberFormat="1" applyFont="1" applyFill="1" applyBorder="1" applyAlignment="1">
      <alignment vertical="center" shrinkToFit="1"/>
    </xf>
    <xf numFmtId="190" fontId="29" fillId="0" borderId="45" xfId="0" applyNumberFormat="1" applyFont="1" applyBorder="1" applyAlignment="1">
      <alignment vertical="center" shrinkToFit="1"/>
    </xf>
    <xf numFmtId="190" fontId="29" fillId="0" borderId="56" xfId="0" applyNumberFormat="1" applyFont="1" applyFill="1" applyBorder="1" applyAlignment="1">
      <alignment vertical="center" shrinkToFit="1"/>
    </xf>
    <xf numFmtId="190" fontId="29" fillId="0" borderId="39" xfId="0" applyNumberFormat="1" applyFont="1" applyBorder="1" applyAlignment="1">
      <alignment vertical="center" shrinkToFit="1"/>
    </xf>
    <xf numFmtId="190" fontId="29" fillId="0" borderId="48" xfId="0" applyNumberFormat="1" applyFont="1" applyBorder="1" applyAlignment="1">
      <alignment vertical="center" shrinkToFit="1"/>
    </xf>
    <xf numFmtId="190" fontId="29" fillId="0" borderId="40" xfId="0" applyNumberFormat="1" applyFont="1" applyBorder="1" applyAlignment="1">
      <alignment vertical="center" shrinkToFit="1"/>
    </xf>
    <xf numFmtId="190" fontId="29" fillId="0" borderId="42" xfId="0" applyNumberFormat="1" applyFont="1" applyFill="1" applyBorder="1" applyAlignment="1">
      <alignment vertical="center" shrinkToFit="1"/>
    </xf>
    <xf numFmtId="193" fontId="29" fillId="0" borderId="51" xfId="0" applyNumberFormat="1" applyFont="1" applyFill="1" applyBorder="1" applyAlignment="1">
      <alignment vertical="center" shrinkToFit="1"/>
    </xf>
    <xf numFmtId="190" fontId="29" fillId="0" borderId="49" xfId="0" applyNumberFormat="1" applyFont="1" applyFill="1" applyBorder="1" applyAlignment="1">
      <alignment vertical="center" shrinkToFit="1"/>
    </xf>
    <xf numFmtId="190" fontId="29" fillId="28" borderId="51" xfId="0" applyNumberFormat="1" applyFont="1" applyFill="1" applyBorder="1" applyAlignment="1">
      <alignment vertical="center" shrinkToFit="1"/>
    </xf>
    <xf numFmtId="190" fontId="29" fillId="0" borderId="65" xfId="0" applyNumberFormat="1" applyFont="1" applyFill="1" applyBorder="1" applyAlignment="1">
      <alignment vertical="center" shrinkToFit="1"/>
    </xf>
    <xf numFmtId="190" fontId="29" fillId="0" borderId="0" xfId="0" applyNumberFormat="1" applyFont="1" applyAlignment="1">
      <alignment vertical="center" shrinkToFit="1"/>
    </xf>
    <xf numFmtId="190" fontId="29" fillId="0" borderId="0" xfId="0" applyNumberFormat="1" applyFont="1" applyBorder="1" applyAlignment="1">
      <alignment vertical="center"/>
    </xf>
    <xf numFmtId="190" fontId="29" fillId="0" borderId="51" xfId="0" applyNumberFormat="1" applyFont="1" applyFill="1" applyBorder="1" applyAlignment="1">
      <alignment vertical="center"/>
    </xf>
    <xf numFmtId="190" fontId="29" fillId="0" borderId="0" xfId="0" applyNumberFormat="1" applyFont="1" applyFill="1" applyBorder="1" applyAlignment="1">
      <alignment vertical="center"/>
    </xf>
    <xf numFmtId="181" fontId="29" fillId="0" borderId="66" xfId="0" applyNumberFormat="1" applyFont="1" applyFill="1" applyBorder="1" applyAlignment="1">
      <alignment horizontal="center" vertical="center" shrinkToFit="1"/>
    </xf>
    <xf numFmtId="193" fontId="29" fillId="28" borderId="45" xfId="0" applyNumberFormat="1" applyFont="1" applyFill="1" applyBorder="1" applyAlignment="1">
      <alignment vertical="center" shrinkToFit="1"/>
    </xf>
    <xf numFmtId="193" fontId="29" fillId="28" borderId="56" xfId="0" applyNumberFormat="1" applyFont="1" applyFill="1" applyBorder="1" applyAlignment="1">
      <alignment vertical="center" shrinkToFit="1"/>
    </xf>
    <xf numFmtId="190" fontId="28" fillId="0" borderId="43" xfId="0" applyNumberFormat="1" applyFont="1" applyFill="1" applyBorder="1" applyAlignment="1">
      <alignment vertical="center" shrinkToFit="1"/>
    </xf>
    <xf numFmtId="190" fontId="28" fillId="28" borderId="46" xfId="0" applyNumberFormat="1" applyFont="1" applyFill="1" applyBorder="1" applyAlignment="1">
      <alignment vertical="center" shrinkToFit="1"/>
    </xf>
    <xf numFmtId="190" fontId="28" fillId="0" borderId="59" xfId="0" applyNumberFormat="1" applyFont="1" applyFill="1" applyBorder="1" applyAlignment="1">
      <alignment vertical="center" shrinkToFit="1"/>
    </xf>
    <xf numFmtId="190" fontId="28" fillId="28" borderId="40" xfId="0" applyNumberFormat="1" applyFont="1" applyFill="1" applyBorder="1" applyAlignment="1">
      <alignment vertical="center" shrinkToFit="1"/>
    </xf>
    <xf numFmtId="190" fontId="28" fillId="28" borderId="62" xfId="0" applyNumberFormat="1" applyFont="1" applyFill="1" applyBorder="1" applyAlignment="1">
      <alignment vertical="center" shrinkToFit="1"/>
    </xf>
    <xf numFmtId="190" fontId="28" fillId="0" borderId="46" xfId="0" applyNumberFormat="1" applyFont="1" applyFill="1" applyBorder="1" applyAlignment="1">
      <alignment vertical="center" shrinkToFit="1"/>
    </xf>
    <xf numFmtId="190" fontId="28" fillId="28" borderId="47" xfId="0" applyNumberFormat="1" applyFont="1" applyFill="1" applyBorder="1" applyAlignment="1">
      <alignment vertical="center" shrinkToFit="1"/>
    </xf>
    <xf numFmtId="190" fontId="28" fillId="0" borderId="40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181" fontId="9" fillId="0" borderId="66" xfId="0" applyNumberFormat="1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41" fontId="8" fillId="0" borderId="70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41" fontId="8" fillId="0" borderId="72" xfId="0" applyNumberFormat="1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29" fillId="0" borderId="45" xfId="0" applyNumberFormat="1" applyFont="1" applyFill="1" applyBorder="1" applyAlignment="1">
      <alignment vertical="center"/>
    </xf>
    <xf numFmtId="181" fontId="29" fillId="0" borderId="51" xfId="0" applyNumberFormat="1" applyFont="1" applyFill="1" applyBorder="1" applyAlignment="1">
      <alignment vertical="center"/>
    </xf>
    <xf numFmtId="181" fontId="29" fillId="0" borderId="74" xfId="0" applyNumberFormat="1" applyFont="1" applyBorder="1" applyAlignment="1">
      <alignment vertical="center"/>
    </xf>
    <xf numFmtId="38" fontId="29" fillId="0" borderId="74" xfId="49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38" fontId="29" fillId="0" borderId="45" xfId="49" applyFont="1" applyFill="1" applyBorder="1" applyAlignment="1">
      <alignment vertical="center"/>
    </xf>
    <xf numFmtId="193" fontId="29" fillId="28" borderId="45" xfId="0" applyNumberFormat="1" applyFont="1" applyFill="1" applyBorder="1" applyAlignment="1">
      <alignment vertical="center"/>
    </xf>
    <xf numFmtId="193" fontId="29" fillId="28" borderId="51" xfId="0" applyNumberFormat="1" applyFont="1" applyFill="1" applyBorder="1" applyAlignment="1">
      <alignment vertical="center"/>
    </xf>
    <xf numFmtId="181" fontId="29" fillId="0" borderId="0" xfId="0" applyNumberFormat="1" applyFont="1" applyAlignment="1">
      <alignment vertical="center"/>
    </xf>
    <xf numFmtId="181" fontId="29" fillId="0" borderId="75" xfId="0" applyNumberFormat="1" applyFont="1" applyFill="1" applyBorder="1" applyAlignment="1">
      <alignment horizontal="center" vertical="center"/>
    </xf>
    <xf numFmtId="181" fontId="29" fillId="0" borderId="66" xfId="0" applyNumberFormat="1" applyFont="1" applyFill="1" applyBorder="1" applyAlignment="1">
      <alignment horizontal="center" vertical="center"/>
    </xf>
    <xf numFmtId="181" fontId="29" fillId="0" borderId="70" xfId="0" applyNumberFormat="1" applyFont="1" applyFill="1" applyBorder="1" applyAlignment="1">
      <alignment horizontal="center" vertical="center"/>
    </xf>
    <xf numFmtId="181" fontId="29" fillId="0" borderId="71" xfId="0" applyNumberFormat="1" applyFont="1" applyFill="1" applyBorder="1" applyAlignment="1">
      <alignment horizontal="center" vertical="center"/>
    </xf>
    <xf numFmtId="181" fontId="29" fillId="0" borderId="72" xfId="0" applyNumberFormat="1" applyFont="1" applyFill="1" applyBorder="1" applyAlignment="1">
      <alignment horizontal="center" vertical="center"/>
    </xf>
    <xf numFmtId="181" fontId="29" fillId="0" borderId="73" xfId="0" applyNumberFormat="1" applyFont="1" applyFill="1" applyBorder="1" applyAlignment="1">
      <alignment horizontal="center" vertical="center"/>
    </xf>
    <xf numFmtId="181" fontId="27" fillId="0" borderId="76" xfId="0" applyNumberFormat="1" applyFont="1" applyFill="1" applyBorder="1" applyAlignment="1">
      <alignment horizontal="center" vertical="center"/>
    </xf>
    <xf numFmtId="181" fontId="27" fillId="0" borderId="77" xfId="0" applyNumberFormat="1" applyFont="1" applyFill="1" applyBorder="1" applyAlignment="1">
      <alignment horizontal="center" vertical="center"/>
    </xf>
    <xf numFmtId="181" fontId="27" fillId="0" borderId="78" xfId="0" applyNumberFormat="1" applyFont="1" applyFill="1" applyBorder="1" applyAlignment="1">
      <alignment horizontal="center" vertical="center"/>
    </xf>
    <xf numFmtId="181" fontId="27" fillId="0" borderId="75" xfId="0" applyNumberFormat="1" applyFont="1" applyFill="1" applyBorder="1" applyAlignment="1">
      <alignment horizontal="center" vertical="center"/>
    </xf>
    <xf numFmtId="38" fontId="29" fillId="0" borderId="45" xfId="49" applyFont="1" applyBorder="1" applyAlignment="1">
      <alignment vertical="center"/>
    </xf>
    <xf numFmtId="181" fontId="29" fillId="0" borderId="45" xfId="0" applyNumberFormat="1" applyFont="1" applyBorder="1" applyAlignment="1">
      <alignment vertical="center"/>
    </xf>
    <xf numFmtId="181" fontId="29" fillId="0" borderId="51" xfId="0" applyNumberFormat="1" applyFont="1" applyBorder="1" applyAlignment="1">
      <alignment vertical="center"/>
    </xf>
    <xf numFmtId="38" fontId="29" fillId="0" borderId="51" xfId="49" applyFont="1" applyBorder="1" applyAlignment="1">
      <alignment vertical="center"/>
    </xf>
    <xf numFmtId="177" fontId="29" fillId="0" borderId="74" xfId="0" applyNumberFormat="1" applyFont="1" applyBorder="1" applyAlignment="1" applyProtection="1">
      <alignment vertical="center"/>
      <protection locked="0"/>
    </xf>
    <xf numFmtId="0" fontId="3" fillId="0" borderId="5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181" fontId="29" fillId="0" borderId="0" xfId="0" applyNumberFormat="1" applyFont="1" applyFill="1" applyBorder="1" applyAlignment="1">
      <alignment vertical="center"/>
    </xf>
    <xf numFmtId="181" fontId="29" fillId="0" borderId="42" xfId="0" applyNumberFormat="1" applyFont="1" applyBorder="1" applyAlignment="1">
      <alignment vertical="center"/>
    </xf>
    <xf numFmtId="181" fontId="29" fillId="0" borderId="65" xfId="0" applyNumberFormat="1" applyFont="1" applyFill="1" applyBorder="1" applyAlignment="1">
      <alignment vertical="center"/>
    </xf>
    <xf numFmtId="193" fontId="29" fillId="0" borderId="45" xfId="0" applyNumberFormat="1" applyFont="1" applyBorder="1" applyAlignment="1">
      <alignment vertical="center"/>
    </xf>
    <xf numFmtId="181" fontId="29" fillId="28" borderId="51" xfId="0" applyNumberFormat="1" applyFont="1" applyFill="1" applyBorder="1" applyAlignment="1">
      <alignment vertical="center"/>
    </xf>
    <xf numFmtId="38" fontId="29" fillId="0" borderId="74" xfId="49" applyFont="1" applyFill="1" applyBorder="1" applyAlignment="1">
      <alignment vertical="center"/>
    </xf>
    <xf numFmtId="181" fontId="29" fillId="0" borderId="74" xfId="0" applyNumberFormat="1" applyFont="1" applyFill="1" applyBorder="1" applyAlignment="1">
      <alignment vertical="center"/>
    </xf>
    <xf numFmtId="38" fontId="29" fillId="0" borderId="51" xfId="49" applyFont="1" applyFill="1" applyBorder="1" applyAlignment="1">
      <alignment vertical="center"/>
    </xf>
    <xf numFmtId="38" fontId="29" fillId="0" borderId="79" xfId="49" applyFont="1" applyFill="1" applyBorder="1" applyAlignment="1">
      <alignment vertical="center"/>
    </xf>
    <xf numFmtId="181" fontId="29" fillId="0" borderId="79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81" fontId="29" fillId="0" borderId="80" xfId="0" applyNumberFormat="1" applyFont="1" applyFill="1" applyBorder="1" applyAlignment="1">
      <alignment vertical="center"/>
    </xf>
    <xf numFmtId="181" fontId="28" fillId="28" borderId="74" xfId="0" applyNumberFormat="1" applyFont="1" applyFill="1" applyBorder="1" applyAlignment="1">
      <alignment vertical="center"/>
    </xf>
    <xf numFmtId="181" fontId="28" fillId="0" borderId="45" xfId="0" applyNumberFormat="1" applyFont="1" applyFill="1" applyBorder="1" applyAlignment="1">
      <alignment vertical="center"/>
    </xf>
    <xf numFmtId="181" fontId="28" fillId="0" borderId="51" xfId="0" applyNumberFormat="1" applyFont="1" applyFill="1" applyBorder="1" applyAlignment="1">
      <alignment vertical="center"/>
    </xf>
    <xf numFmtId="181" fontId="28" fillId="0" borderId="40" xfId="0" applyNumberFormat="1" applyFont="1" applyFill="1" applyBorder="1" applyAlignment="1">
      <alignment vertical="center"/>
    </xf>
    <xf numFmtId="0" fontId="0" fillId="0" borderId="62" xfId="0" applyFont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79" xfId="0" applyFont="1" applyBorder="1" applyAlignment="1">
      <alignment horizontal="left" vertical="center" wrapText="1"/>
    </xf>
    <xf numFmtId="0" fontId="0" fillId="0" borderId="74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38" fontId="29" fillId="0" borderId="19" xfId="49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38" fontId="29" fillId="0" borderId="19" xfId="49" applyFont="1" applyBorder="1" applyAlignment="1">
      <alignment horizontal="left" vertical="center" wrapText="1" shrinkToFit="1"/>
    </xf>
    <xf numFmtId="0" fontId="29" fillId="0" borderId="0" xfId="0" applyFont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 shrinkToFit="1"/>
    </xf>
    <xf numFmtId="38" fontId="29" fillId="0" borderId="19" xfId="49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38" fontId="28" fillId="0" borderId="19" xfId="49" applyNumberFormat="1" applyFont="1" applyBorder="1" applyAlignment="1">
      <alignment vertical="center"/>
    </xf>
    <xf numFmtId="38" fontId="28" fillId="0" borderId="19" xfId="49" applyFont="1" applyFill="1" applyBorder="1" applyAlignment="1">
      <alignment horizontal="right" vertical="center"/>
    </xf>
    <xf numFmtId="0" fontId="28" fillId="0" borderId="21" xfId="0" applyFont="1" applyBorder="1" applyAlignment="1">
      <alignment vertical="center"/>
    </xf>
    <xf numFmtId="0" fontId="28" fillId="0" borderId="23" xfId="0" applyFont="1" applyBorder="1" applyAlignment="1">
      <alignment vertical="center"/>
    </xf>
    <xf numFmtId="0" fontId="28" fillId="0" borderId="0" xfId="0" applyFont="1" applyFill="1" applyAlignment="1">
      <alignment/>
    </xf>
    <xf numFmtId="0" fontId="28" fillId="0" borderId="81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distributed" vertical="center"/>
    </xf>
    <xf numFmtId="0" fontId="28" fillId="0" borderId="84" xfId="0" applyNumberFormat="1" applyFont="1" applyFill="1" applyBorder="1" applyAlignment="1">
      <alignment/>
    </xf>
    <xf numFmtId="0" fontId="28" fillId="0" borderId="20" xfId="0" applyNumberFormat="1" applyFont="1" applyFill="1" applyBorder="1" applyAlignment="1">
      <alignment/>
    </xf>
    <xf numFmtId="0" fontId="28" fillId="0" borderId="38" xfId="0" applyNumberFormat="1" applyFont="1" applyFill="1" applyBorder="1" applyAlignment="1">
      <alignment/>
    </xf>
    <xf numFmtId="0" fontId="28" fillId="0" borderId="85" xfId="49" applyNumberFormat="1" applyFont="1" applyFill="1" applyBorder="1" applyAlignment="1">
      <alignment/>
    </xf>
    <xf numFmtId="0" fontId="28" fillId="0" borderId="86" xfId="49" applyNumberFormat="1" applyFont="1" applyFill="1" applyBorder="1" applyAlignment="1">
      <alignment horizontal="right" vertical="center"/>
    </xf>
    <xf numFmtId="0" fontId="28" fillId="0" borderId="21" xfId="0" applyNumberFormat="1" applyFont="1" applyFill="1" applyBorder="1" applyAlignment="1">
      <alignment horizontal="right" vertical="center"/>
    </xf>
    <xf numFmtId="0" fontId="28" fillId="0" borderId="19" xfId="0" applyNumberFormat="1" applyFont="1" applyFill="1" applyBorder="1" applyAlignment="1">
      <alignment horizontal="right" vertical="center"/>
    </xf>
    <xf numFmtId="0" fontId="28" fillId="0" borderId="23" xfId="0" applyNumberFormat="1" applyFont="1" applyFill="1" applyBorder="1" applyAlignment="1">
      <alignment horizontal="right" vertical="center"/>
    </xf>
    <xf numFmtId="0" fontId="28" fillId="0" borderId="19" xfId="0" applyNumberFormat="1" applyFont="1" applyFill="1" applyBorder="1" applyAlignment="1">
      <alignment horizontal="right"/>
    </xf>
    <xf numFmtId="0" fontId="28" fillId="0" borderId="23" xfId="0" applyNumberFormat="1" applyFont="1" applyFill="1" applyBorder="1" applyAlignment="1">
      <alignment horizontal="right"/>
    </xf>
    <xf numFmtId="0" fontId="28" fillId="0" borderId="86" xfId="49" applyNumberFormat="1" applyFont="1" applyFill="1" applyBorder="1" applyAlignment="1">
      <alignment horizontal="right"/>
    </xf>
    <xf numFmtId="0" fontId="28" fillId="0" borderId="21" xfId="0" applyNumberFormat="1" applyFont="1" applyFill="1" applyBorder="1" applyAlignment="1">
      <alignment horizontal="right"/>
    </xf>
    <xf numFmtId="185" fontId="28" fillId="0" borderId="21" xfId="0" applyNumberFormat="1" applyFont="1" applyFill="1" applyBorder="1" applyAlignment="1">
      <alignment horizontal="right" vertical="center"/>
    </xf>
    <xf numFmtId="185" fontId="28" fillId="0" borderId="19" xfId="0" applyNumberFormat="1" applyFont="1" applyFill="1" applyBorder="1" applyAlignment="1">
      <alignment horizontal="right" vertical="center"/>
    </xf>
    <xf numFmtId="185" fontId="28" fillId="0" borderId="23" xfId="0" applyNumberFormat="1" applyFont="1" applyFill="1" applyBorder="1" applyAlignment="1">
      <alignment horizontal="right" vertical="center"/>
    </xf>
    <xf numFmtId="185" fontId="28" fillId="0" borderId="86" xfId="49" applyNumberFormat="1" applyFont="1" applyFill="1" applyBorder="1" applyAlignment="1">
      <alignment horizontal="right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38" fontId="3" fillId="0" borderId="90" xfId="49" applyFont="1" applyFill="1" applyBorder="1" applyAlignment="1">
      <alignment/>
    </xf>
    <xf numFmtId="38" fontId="3" fillId="0" borderId="91" xfId="49" applyFont="1" applyFill="1" applyBorder="1" applyAlignment="1">
      <alignment/>
    </xf>
    <xf numFmtId="38" fontId="3" fillId="0" borderId="92" xfId="49" applyFont="1" applyFill="1" applyBorder="1" applyAlignment="1">
      <alignment horizontal="center"/>
    </xf>
    <xf numFmtId="181" fontId="27" fillId="0" borderId="93" xfId="0" applyNumberFormat="1" applyFont="1" applyFill="1" applyBorder="1" applyAlignment="1">
      <alignment horizontal="center" vertical="center"/>
    </xf>
    <xf numFmtId="0" fontId="29" fillId="0" borderId="67" xfId="0" applyFont="1" applyFill="1" applyBorder="1" applyAlignment="1">
      <alignment horizontal="center" vertical="center"/>
    </xf>
    <xf numFmtId="181" fontId="27" fillId="0" borderId="94" xfId="0" applyNumberFormat="1" applyFont="1" applyFill="1" applyBorder="1" applyAlignment="1">
      <alignment horizontal="center" vertical="center"/>
    </xf>
    <xf numFmtId="0" fontId="29" fillId="0" borderId="68" xfId="0" applyFont="1" applyFill="1" applyBorder="1" applyAlignment="1">
      <alignment horizontal="center" vertical="center"/>
    </xf>
    <xf numFmtId="181" fontId="27" fillId="0" borderId="95" xfId="0" applyNumberFormat="1" applyFont="1" applyFill="1" applyBorder="1" applyAlignment="1">
      <alignment horizontal="center" vertical="center"/>
    </xf>
    <xf numFmtId="0" fontId="29" fillId="0" borderId="69" xfId="0" applyFont="1" applyFill="1" applyBorder="1" applyAlignment="1">
      <alignment horizontal="center" vertical="center"/>
    </xf>
    <xf numFmtId="181" fontId="27" fillId="0" borderId="96" xfId="0" applyNumberFormat="1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38" fontId="28" fillId="33" borderId="34" xfId="49" applyFont="1" applyFill="1" applyBorder="1" applyAlignment="1">
      <alignment vertical="center"/>
    </xf>
    <xf numFmtId="38" fontId="28" fillId="33" borderId="23" xfId="49" applyFont="1" applyFill="1" applyBorder="1" applyAlignment="1">
      <alignment vertical="center"/>
    </xf>
    <xf numFmtId="38" fontId="28" fillId="33" borderId="23" xfId="49" applyFont="1" applyFill="1" applyBorder="1" applyAlignment="1">
      <alignment horizontal="right"/>
    </xf>
    <xf numFmtId="0" fontId="28" fillId="33" borderId="23" xfId="49" applyNumberFormat="1" applyFont="1" applyFill="1" applyBorder="1" applyAlignment="1">
      <alignment horizontal="right"/>
    </xf>
    <xf numFmtId="38" fontId="28" fillId="0" borderId="29" xfId="49" applyFont="1" applyFill="1" applyBorder="1" applyAlignment="1">
      <alignment horizontal="right"/>
    </xf>
    <xf numFmtId="38" fontId="28" fillId="0" borderId="33" xfId="49" applyFont="1" applyFill="1" applyBorder="1" applyAlignment="1">
      <alignment horizontal="right"/>
    </xf>
    <xf numFmtId="194" fontId="29" fillId="33" borderId="23" xfId="49" applyNumberFormat="1" applyFont="1" applyFill="1" applyBorder="1" applyAlignment="1">
      <alignment vertical="center"/>
    </xf>
    <xf numFmtId="194" fontId="29" fillId="33" borderId="97" xfId="49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38" fontId="3" fillId="0" borderId="98" xfId="49" applyFont="1" applyFill="1" applyBorder="1" applyAlignment="1">
      <alignment/>
    </xf>
    <xf numFmtId="38" fontId="28" fillId="0" borderId="28" xfId="49" applyFont="1" applyFill="1" applyBorder="1" applyAlignment="1">
      <alignment/>
    </xf>
    <xf numFmtId="38" fontId="28" fillId="0" borderId="99" xfId="49" applyFont="1" applyFill="1" applyBorder="1" applyAlignment="1">
      <alignment/>
    </xf>
    <xf numFmtId="38" fontId="27" fillId="0" borderId="24" xfId="49" applyFont="1" applyFill="1" applyBorder="1" applyAlignment="1">
      <alignment horizontal="right" vertical="center"/>
    </xf>
    <xf numFmtId="9" fontId="29" fillId="33" borderId="21" xfId="0" applyNumberFormat="1" applyFont="1" applyFill="1" applyBorder="1" applyAlignment="1">
      <alignment vertical="center" shrinkToFit="1"/>
    </xf>
    <xf numFmtId="0" fontId="5" fillId="0" borderId="100" xfId="0" applyFont="1" applyFill="1" applyBorder="1" applyAlignment="1">
      <alignment/>
    </xf>
    <xf numFmtId="0" fontId="29" fillId="0" borderId="88" xfId="0" applyFont="1" applyFill="1" applyBorder="1" applyAlignment="1">
      <alignment horizontal="center" vertical="center"/>
    </xf>
    <xf numFmtId="38" fontId="27" fillId="0" borderId="101" xfId="49" applyFont="1" applyFill="1" applyBorder="1" applyAlignment="1">
      <alignment horizontal="right" vertical="center"/>
    </xf>
    <xf numFmtId="38" fontId="29" fillId="0" borderId="102" xfId="49" applyFont="1" applyFill="1" applyBorder="1" applyAlignment="1">
      <alignment horizontal="right" vertical="center" shrinkToFit="1"/>
    </xf>
    <xf numFmtId="38" fontId="27" fillId="0" borderId="79" xfId="49" applyFont="1" applyFill="1" applyBorder="1" applyAlignment="1">
      <alignment horizontal="right" vertical="center"/>
    </xf>
    <xf numFmtId="38" fontId="29" fillId="0" borderId="88" xfId="49" applyFont="1" applyFill="1" applyBorder="1" applyAlignment="1">
      <alignment horizontal="right" vertical="center" shrinkToFit="1"/>
    </xf>
    <xf numFmtId="38" fontId="27" fillId="0" borderId="103" xfId="49" applyFont="1" applyFill="1" applyBorder="1" applyAlignment="1">
      <alignment horizontal="right" vertical="center"/>
    </xf>
    <xf numFmtId="38" fontId="29" fillId="0" borderId="104" xfId="49" applyFont="1" applyFill="1" applyBorder="1" applyAlignment="1">
      <alignment horizontal="right" vertical="center" shrinkToFit="1"/>
    </xf>
    <xf numFmtId="38" fontId="29" fillId="0" borderId="105" xfId="49" applyFont="1" applyFill="1" applyBorder="1" applyAlignment="1">
      <alignment horizontal="right" vertical="center"/>
    </xf>
    <xf numFmtId="38" fontId="29" fillId="0" borderId="103" xfId="49" applyFont="1" applyFill="1" applyBorder="1" applyAlignment="1">
      <alignment horizontal="center" vertical="center"/>
    </xf>
    <xf numFmtId="38" fontId="29" fillId="0" borderId="24" xfId="49" applyFont="1" applyFill="1" applyBorder="1" applyAlignment="1">
      <alignment horizontal="center" vertical="center"/>
    </xf>
    <xf numFmtId="38" fontId="29" fillId="0" borderId="101" xfId="49" applyFont="1" applyFill="1" applyBorder="1" applyAlignment="1">
      <alignment horizontal="center" vertical="center"/>
    </xf>
    <xf numFmtId="38" fontId="29" fillId="0" borderId="79" xfId="49" applyFont="1" applyFill="1" applyBorder="1" applyAlignment="1">
      <alignment horizontal="center" vertical="center"/>
    </xf>
    <xf numFmtId="38" fontId="29" fillId="0" borderId="106" xfId="49" applyFont="1" applyFill="1" applyBorder="1" applyAlignment="1">
      <alignment horizontal="right" vertical="center"/>
    </xf>
    <xf numFmtId="38" fontId="29" fillId="0" borderId="107" xfId="49" applyFont="1" applyFill="1" applyBorder="1" applyAlignment="1">
      <alignment horizontal="right" vertical="center" shrinkToFit="1"/>
    </xf>
    <xf numFmtId="38" fontId="29" fillId="0" borderId="108" xfId="49" applyFont="1" applyFill="1" applyBorder="1" applyAlignment="1">
      <alignment horizontal="right" vertical="center" shrinkToFit="1"/>
    </xf>
    <xf numFmtId="38" fontId="29" fillId="0" borderId="66" xfId="49" applyFont="1" applyFill="1" applyBorder="1" applyAlignment="1">
      <alignment horizontal="right" vertical="center" shrinkToFit="1"/>
    </xf>
    <xf numFmtId="38" fontId="29" fillId="0" borderId="109" xfId="49" applyFont="1" applyFill="1" applyBorder="1" applyAlignment="1">
      <alignment horizontal="right" vertical="center"/>
    </xf>
    <xf numFmtId="38" fontId="29" fillId="0" borderId="110" xfId="49" applyFont="1" applyFill="1" applyBorder="1" applyAlignment="1">
      <alignment horizontal="right" vertical="center"/>
    </xf>
    <xf numFmtId="0" fontId="29" fillId="0" borderId="100" xfId="0" applyFont="1" applyFill="1" applyBorder="1" applyAlignment="1">
      <alignment horizontal="center" vertical="center"/>
    </xf>
    <xf numFmtId="0" fontId="29" fillId="0" borderId="89" xfId="0" applyFont="1" applyFill="1" applyBorder="1" applyAlignment="1">
      <alignment horizontal="center" vertical="center"/>
    </xf>
    <xf numFmtId="38" fontId="29" fillId="0" borderId="111" xfId="49" applyFont="1" applyFill="1" applyBorder="1" applyAlignment="1">
      <alignment horizontal="right" vertical="center" shrinkToFit="1"/>
    </xf>
    <xf numFmtId="38" fontId="29" fillId="0" borderId="112" xfId="49" applyFont="1" applyFill="1" applyBorder="1" applyAlignment="1">
      <alignment horizontal="right" vertical="center" shrinkToFit="1"/>
    </xf>
    <xf numFmtId="38" fontId="29" fillId="0" borderId="113" xfId="49" applyFont="1" applyFill="1" applyBorder="1" applyAlignment="1">
      <alignment horizontal="right" vertical="center" shrinkToFit="1"/>
    </xf>
    <xf numFmtId="38" fontId="29" fillId="0" borderId="114" xfId="49" applyFont="1" applyFill="1" applyBorder="1" applyAlignment="1">
      <alignment horizontal="right" vertical="center" shrinkToFit="1"/>
    </xf>
    <xf numFmtId="38" fontId="29" fillId="0" borderId="115" xfId="49" applyFont="1" applyFill="1" applyBorder="1" applyAlignment="1">
      <alignment horizontal="right" vertical="center" shrinkToFit="1"/>
    </xf>
    <xf numFmtId="38" fontId="29" fillId="0" borderId="116" xfId="49" applyFont="1" applyFill="1" applyBorder="1" applyAlignment="1">
      <alignment horizontal="right" vertical="center" shrinkToFit="1"/>
    </xf>
    <xf numFmtId="38" fontId="29" fillId="0" borderId="100" xfId="49" applyFont="1" applyFill="1" applyBorder="1" applyAlignment="1">
      <alignment horizontal="right" vertical="center" shrinkToFit="1"/>
    </xf>
    <xf numFmtId="38" fontId="29" fillId="0" borderId="89" xfId="49" applyFont="1" applyFill="1" applyBorder="1" applyAlignment="1">
      <alignment horizontal="right" vertical="center" shrinkToFit="1"/>
    </xf>
    <xf numFmtId="38" fontId="29" fillId="0" borderId="117" xfId="49" applyFont="1" applyFill="1" applyBorder="1" applyAlignment="1">
      <alignment horizontal="right" vertical="center"/>
    </xf>
    <xf numFmtId="38" fontId="29" fillId="0" borderId="118" xfId="49" applyFont="1" applyFill="1" applyBorder="1" applyAlignment="1">
      <alignment horizontal="right" vertical="center"/>
    </xf>
    <xf numFmtId="38" fontId="29" fillId="0" borderId="119" xfId="49" applyFont="1" applyFill="1" applyBorder="1" applyAlignment="1">
      <alignment horizontal="right" vertical="center"/>
    </xf>
    <xf numFmtId="38" fontId="29" fillId="0" borderId="120" xfId="49" applyFont="1" applyFill="1" applyBorder="1" applyAlignment="1">
      <alignment horizontal="right" vertical="center"/>
    </xf>
    <xf numFmtId="0" fontId="5" fillId="0" borderId="75" xfId="0" applyFont="1" applyFill="1" applyBorder="1" applyAlignment="1">
      <alignment/>
    </xf>
    <xf numFmtId="38" fontId="29" fillId="0" borderId="88" xfId="49" applyFont="1" applyFill="1" applyBorder="1" applyAlignment="1">
      <alignment horizontal="center" vertical="center"/>
    </xf>
    <xf numFmtId="9" fontId="29" fillId="33" borderId="121" xfId="0" applyNumberFormat="1" applyFont="1" applyFill="1" applyBorder="1" applyAlignment="1">
      <alignment vertical="center" shrinkToFit="1"/>
    </xf>
    <xf numFmtId="38" fontId="29" fillId="0" borderId="104" xfId="49" applyFont="1" applyFill="1" applyBorder="1" applyAlignment="1">
      <alignment horizontal="right" vertical="center"/>
    </xf>
    <xf numFmtId="38" fontId="29" fillId="0" borderId="122" xfId="49" applyFont="1" applyFill="1" applyBorder="1" applyAlignment="1">
      <alignment vertical="center"/>
    </xf>
    <xf numFmtId="38" fontId="29" fillId="0" borderId="122" xfId="49" applyFont="1" applyFill="1" applyBorder="1" applyAlignment="1">
      <alignment horizontal="right" vertical="center"/>
    </xf>
    <xf numFmtId="9" fontId="29" fillId="33" borderId="123" xfId="0" applyNumberFormat="1" applyFont="1" applyFill="1" applyBorder="1" applyAlignment="1">
      <alignment vertical="center" shrinkToFit="1"/>
    </xf>
    <xf numFmtId="38" fontId="6" fillId="0" borderId="66" xfId="49" applyFont="1" applyFill="1" applyBorder="1" applyAlignment="1">
      <alignment horizontal="distributed" vertical="center"/>
    </xf>
    <xf numFmtId="38" fontId="29" fillId="0" borderId="107" xfId="49" applyFont="1" applyFill="1" applyBorder="1" applyAlignment="1">
      <alignment horizontal="right" vertical="center"/>
    </xf>
    <xf numFmtId="38" fontId="29" fillId="0" borderId="124" xfId="49" applyFont="1" applyFill="1" applyBorder="1" applyAlignment="1">
      <alignment vertical="center"/>
    </xf>
    <xf numFmtId="38" fontId="29" fillId="0" borderId="124" xfId="49" applyFont="1" applyFill="1" applyBorder="1" applyAlignment="1">
      <alignment horizontal="right" vertical="center"/>
    </xf>
    <xf numFmtId="38" fontId="29" fillId="0" borderId="100" xfId="49" applyFont="1" applyFill="1" applyBorder="1" applyAlignment="1">
      <alignment horizontal="center" vertical="center"/>
    </xf>
    <xf numFmtId="38" fontId="29" fillId="0" borderId="89" xfId="49" applyFont="1" applyFill="1" applyBorder="1" applyAlignment="1">
      <alignment horizontal="center" vertical="center"/>
    </xf>
    <xf numFmtId="38" fontId="29" fillId="0" borderId="111" xfId="49" applyFont="1" applyFill="1" applyBorder="1" applyAlignment="1">
      <alignment horizontal="right" vertical="center"/>
    </xf>
    <xf numFmtId="38" fontId="29" fillId="0" borderId="112" xfId="49" applyFont="1" applyFill="1" applyBorder="1" applyAlignment="1">
      <alignment horizontal="right" vertical="center"/>
    </xf>
    <xf numFmtId="38" fontId="29" fillId="0" borderId="113" xfId="49" applyFont="1" applyFill="1" applyBorder="1" applyAlignment="1">
      <alignment horizontal="right" vertical="center"/>
    </xf>
    <xf numFmtId="38" fontId="29" fillId="0" borderId="114" xfId="49" applyFont="1" applyFill="1" applyBorder="1" applyAlignment="1">
      <alignment horizontal="right" vertical="center"/>
    </xf>
    <xf numFmtId="38" fontId="29" fillId="0" borderId="125" xfId="49" applyFont="1" applyFill="1" applyBorder="1" applyAlignment="1">
      <alignment vertical="center"/>
    </xf>
    <xf numFmtId="38" fontId="29" fillId="0" borderId="126" xfId="49" applyFont="1" applyFill="1" applyBorder="1" applyAlignment="1">
      <alignment vertical="center"/>
    </xf>
    <xf numFmtId="38" fontId="29" fillId="0" borderId="125" xfId="49" applyFont="1" applyFill="1" applyBorder="1" applyAlignment="1">
      <alignment horizontal="right" vertical="center"/>
    </xf>
    <xf numFmtId="38" fontId="29" fillId="0" borderId="126" xfId="49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 wrapText="1"/>
    </xf>
    <xf numFmtId="38" fontId="83" fillId="0" borderId="0" xfId="49" applyFont="1" applyFill="1" applyAlignment="1">
      <alignment/>
    </xf>
    <xf numFmtId="38" fontId="28" fillId="0" borderId="19" xfId="0" applyNumberFormat="1" applyFont="1" applyBorder="1" applyAlignment="1">
      <alignment vertical="center"/>
    </xf>
    <xf numFmtId="38" fontId="5" fillId="0" borderId="19" xfId="0" applyNumberFormat="1" applyFont="1" applyFill="1" applyBorder="1" applyAlignment="1">
      <alignment horizontal="distributed" vertical="center"/>
    </xf>
    <xf numFmtId="38" fontId="20" fillId="0" borderId="19" xfId="0" applyNumberFormat="1" applyFont="1" applyFill="1" applyBorder="1" applyAlignment="1">
      <alignment horizontal="distributed" vertical="center"/>
    </xf>
    <xf numFmtId="38" fontId="4" fillId="0" borderId="19" xfId="0" applyNumberFormat="1" applyFont="1" applyFill="1" applyBorder="1" applyAlignment="1">
      <alignment horizontal="distributed" vertical="center"/>
    </xf>
    <xf numFmtId="38" fontId="5" fillId="0" borderId="23" xfId="0" applyNumberFormat="1" applyFont="1" applyFill="1" applyBorder="1" applyAlignment="1">
      <alignment horizontal="distributed" vertical="center"/>
    </xf>
    <xf numFmtId="0" fontId="5" fillId="0" borderId="127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/>
    </xf>
    <xf numFmtId="0" fontId="28" fillId="0" borderId="42" xfId="0" applyFont="1" applyFill="1" applyBorder="1" applyAlignment="1">
      <alignment/>
    </xf>
    <xf numFmtId="0" fontId="28" fillId="0" borderId="53" xfId="0" applyFont="1" applyFill="1" applyBorder="1" applyAlignment="1">
      <alignment/>
    </xf>
    <xf numFmtId="0" fontId="28" fillId="0" borderId="45" xfId="0" applyFont="1" applyFill="1" applyBorder="1" applyAlignment="1">
      <alignment/>
    </xf>
    <xf numFmtId="0" fontId="5" fillId="33" borderId="52" xfId="0" applyNumberFormat="1" applyFont="1" applyFill="1" applyBorder="1" applyAlignment="1">
      <alignment/>
    </xf>
    <xf numFmtId="0" fontId="5" fillId="33" borderId="42" xfId="0" applyNumberFormat="1" applyFont="1" applyFill="1" applyBorder="1" applyAlignment="1">
      <alignment/>
    </xf>
    <xf numFmtId="0" fontId="5" fillId="33" borderId="43" xfId="0" applyNumberFormat="1" applyFont="1" applyFill="1" applyBorder="1" applyAlignment="1">
      <alignment/>
    </xf>
    <xf numFmtId="0" fontId="5" fillId="33" borderId="53" xfId="0" applyNumberFormat="1" applyFont="1" applyFill="1" applyBorder="1" applyAlignment="1">
      <alignment/>
    </xf>
    <xf numFmtId="0" fontId="5" fillId="33" borderId="45" xfId="0" applyNumberFormat="1" applyFont="1" applyFill="1" applyBorder="1" applyAlignment="1">
      <alignment/>
    </xf>
    <xf numFmtId="0" fontId="5" fillId="33" borderId="46" xfId="0" applyNumberFormat="1" applyFont="1" applyFill="1" applyBorder="1" applyAlignment="1">
      <alignment/>
    </xf>
    <xf numFmtId="0" fontId="5" fillId="33" borderId="54" xfId="0" applyNumberFormat="1" applyFont="1" applyFill="1" applyBorder="1" applyAlignment="1">
      <alignment/>
    </xf>
    <xf numFmtId="0" fontId="5" fillId="33" borderId="51" xfId="0" applyNumberFormat="1" applyFont="1" applyFill="1" applyBorder="1" applyAlignment="1">
      <alignment/>
    </xf>
    <xf numFmtId="0" fontId="5" fillId="33" borderId="47" xfId="0" applyNumberFormat="1" applyFont="1" applyFill="1" applyBorder="1" applyAlignment="1">
      <alignment/>
    </xf>
    <xf numFmtId="0" fontId="28" fillId="0" borderId="93" xfId="0" applyFont="1" applyFill="1" applyBorder="1" applyAlignment="1">
      <alignment/>
    </xf>
    <xf numFmtId="0" fontId="28" fillId="0" borderId="94" xfId="0" applyFont="1" applyFill="1" applyBorder="1" applyAlignment="1">
      <alignment/>
    </xf>
    <xf numFmtId="0" fontId="28" fillId="0" borderId="128" xfId="0" applyFont="1" applyFill="1" applyBorder="1" applyAlignment="1">
      <alignment/>
    </xf>
    <xf numFmtId="0" fontId="28" fillId="0" borderId="129" xfId="0" applyFont="1" applyFill="1" applyBorder="1" applyAlignment="1">
      <alignment/>
    </xf>
    <xf numFmtId="0" fontId="28" fillId="0" borderId="21" xfId="0" applyFont="1" applyFill="1" applyBorder="1" applyAlignment="1">
      <alignment vertical="center"/>
    </xf>
    <xf numFmtId="0" fontId="28" fillId="0" borderId="19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182" fontId="7" fillId="0" borderId="90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center"/>
    </xf>
    <xf numFmtId="182" fontId="7" fillId="0" borderId="92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8" fontId="28" fillId="0" borderId="19" xfId="0" applyNumberFormat="1" applyFont="1" applyBorder="1" applyAlignment="1">
      <alignment horizontal="center" vertical="center"/>
    </xf>
    <xf numFmtId="0" fontId="16" fillId="0" borderId="43" xfId="0" applyFont="1" applyBorder="1" applyAlignment="1">
      <alignment vertical="center"/>
    </xf>
    <xf numFmtId="178" fontId="3" fillId="0" borderId="0" xfId="49" applyNumberFormat="1" applyFont="1" applyFill="1" applyAlignment="1">
      <alignment/>
    </xf>
    <xf numFmtId="0" fontId="0" fillId="0" borderId="130" xfId="0" applyFont="1" applyBorder="1" applyAlignment="1">
      <alignment vertical="center"/>
    </xf>
    <xf numFmtId="190" fontId="29" fillId="0" borderId="131" xfId="0" applyNumberFormat="1" applyFont="1" applyFill="1" applyBorder="1" applyAlignment="1">
      <alignment vertical="center" shrinkToFit="1"/>
    </xf>
    <xf numFmtId="190" fontId="29" fillId="0" borderId="131" xfId="0" applyNumberFormat="1" applyFont="1" applyFill="1" applyBorder="1" applyAlignment="1">
      <alignment vertical="center"/>
    </xf>
    <xf numFmtId="190" fontId="28" fillId="0" borderId="131" xfId="0" applyNumberFormat="1" applyFont="1" applyFill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5" fillId="0" borderId="6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13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38" fontId="3" fillId="0" borderId="25" xfId="49" applyFont="1" applyFill="1" applyBorder="1" applyAlignment="1">
      <alignment horizontal="right"/>
    </xf>
    <xf numFmtId="0" fontId="3" fillId="0" borderId="35" xfId="0" applyFont="1" applyFill="1" applyBorder="1" applyAlignment="1">
      <alignment horizontal="right"/>
    </xf>
    <xf numFmtId="0" fontId="3" fillId="0" borderId="3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8" fontId="3" fillId="0" borderId="132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/>
    </xf>
    <xf numFmtId="41" fontId="3" fillId="0" borderId="0" xfId="49" applyNumberFormat="1" applyFont="1" applyFill="1" applyAlignment="1">
      <alignment/>
    </xf>
    <xf numFmtId="0" fontId="9" fillId="0" borderId="0" xfId="0" applyFont="1" applyAlignment="1">
      <alignment horizontal="left" vertical="center" wrapText="1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5" fillId="0" borderId="133" xfId="0" applyFont="1" applyFill="1" applyBorder="1" applyAlignment="1">
      <alignment horizontal="center"/>
    </xf>
    <xf numFmtId="182" fontId="7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distributed" vertical="center"/>
    </xf>
    <xf numFmtId="0" fontId="28" fillId="0" borderId="84" xfId="0" applyNumberFormat="1" applyFont="1" applyFill="1" applyBorder="1" applyAlignment="1">
      <alignment horizontal="right"/>
    </xf>
    <xf numFmtId="0" fontId="28" fillId="0" borderId="29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28" fillId="0" borderId="134" xfId="49" applyNumberFormat="1" applyFont="1" applyFill="1" applyBorder="1" applyAlignment="1">
      <alignment horizontal="right"/>
    </xf>
    <xf numFmtId="0" fontId="28" fillId="0" borderId="135" xfId="0" applyFont="1" applyFill="1" applyBorder="1" applyAlignment="1">
      <alignment/>
    </xf>
    <xf numFmtId="0" fontId="28" fillId="0" borderId="25" xfId="49" applyNumberFormat="1" applyFont="1" applyFill="1" applyBorder="1" applyAlignment="1">
      <alignment horizontal="right"/>
    </xf>
    <xf numFmtId="0" fontId="28" fillId="0" borderId="136" xfId="49" applyNumberFormat="1" applyFont="1" applyFill="1" applyBorder="1" applyAlignment="1">
      <alignment horizontal="right"/>
    </xf>
    <xf numFmtId="0" fontId="28" fillId="0" borderId="137" xfId="0" applyNumberFormat="1" applyFont="1" applyFill="1" applyBorder="1" applyAlignment="1">
      <alignment horizontal="right"/>
    </xf>
    <xf numFmtId="0" fontId="3" fillId="0" borderId="138" xfId="0" applyFont="1" applyBorder="1" applyAlignment="1">
      <alignment vertical="center" textRotation="255"/>
    </xf>
    <xf numFmtId="0" fontId="3" fillId="0" borderId="139" xfId="0" applyFont="1" applyBorder="1" applyAlignment="1">
      <alignment vertical="center" textRotation="255"/>
    </xf>
    <xf numFmtId="0" fontId="3" fillId="0" borderId="140" xfId="0" applyFont="1" applyBorder="1" applyAlignment="1">
      <alignment vertical="center" textRotation="255"/>
    </xf>
    <xf numFmtId="0" fontId="28" fillId="0" borderId="34" xfId="49" applyNumberFormat="1" applyFont="1" applyFill="1" applyBorder="1" applyAlignment="1">
      <alignment horizontal="right"/>
    </xf>
    <xf numFmtId="0" fontId="28" fillId="0" borderId="35" xfId="49" applyNumberFormat="1" applyFont="1" applyFill="1" applyBorder="1" applyAlignment="1">
      <alignment horizontal="right"/>
    </xf>
    <xf numFmtId="41" fontId="0" fillId="0" borderId="20" xfId="49" applyNumberFormat="1" applyFont="1" applyFill="1" applyBorder="1" applyAlignment="1">
      <alignment horizontal="center" vertical="center" shrinkToFit="1"/>
    </xf>
    <xf numFmtId="38" fontId="28" fillId="0" borderId="34" xfId="49" applyFont="1" applyFill="1" applyBorder="1" applyAlignment="1">
      <alignment horizontal="right"/>
    </xf>
    <xf numFmtId="38" fontId="28" fillId="0" borderId="35" xfId="49" applyFont="1" applyFill="1" applyBorder="1" applyAlignment="1">
      <alignment horizontal="right"/>
    </xf>
    <xf numFmtId="38" fontId="3" fillId="0" borderId="20" xfId="49" applyFont="1" applyFill="1" applyBorder="1" applyAlignment="1">
      <alignment horizontal="distributed"/>
    </xf>
    <xf numFmtId="0" fontId="3" fillId="0" borderId="20" xfId="0" applyFont="1" applyFill="1" applyBorder="1" applyAlignment="1">
      <alignment horizontal="distributed"/>
    </xf>
    <xf numFmtId="38" fontId="0" fillId="0" borderId="141" xfId="49" applyFont="1" applyFill="1" applyBorder="1" applyAlignment="1">
      <alignment horizontal="center" vertical="center" shrinkToFit="1"/>
    </xf>
    <xf numFmtId="38" fontId="0" fillId="0" borderId="142" xfId="49" applyFont="1" applyFill="1" applyBorder="1" applyAlignment="1">
      <alignment horizontal="center" vertical="center" shrinkToFit="1"/>
    </xf>
    <xf numFmtId="38" fontId="3" fillId="0" borderId="143" xfId="49" applyFont="1" applyFill="1" applyBorder="1" applyAlignment="1">
      <alignment horizontal="distributed" vertical="center"/>
    </xf>
    <xf numFmtId="0" fontId="0" fillId="0" borderId="144" xfId="0" applyFont="1" applyFill="1" applyBorder="1" applyAlignment="1">
      <alignment horizontal="distributed" vertical="center"/>
    </xf>
    <xf numFmtId="38" fontId="31" fillId="0" borderId="0" xfId="49" applyFont="1" applyFill="1" applyAlignment="1">
      <alignment horizontal="distributed"/>
    </xf>
    <xf numFmtId="38" fontId="26" fillId="0" borderId="0" xfId="49" applyFont="1" applyFill="1" applyAlignment="1">
      <alignment horizontal="distributed"/>
    </xf>
    <xf numFmtId="38" fontId="26" fillId="0" borderId="16" xfId="49" applyFont="1" applyFill="1" applyBorder="1" applyAlignment="1">
      <alignment horizontal="center" shrinkToFit="1"/>
    </xf>
    <xf numFmtId="38" fontId="3" fillId="0" borderId="145" xfId="49" applyFont="1" applyFill="1" applyBorder="1" applyAlignment="1">
      <alignment horizontal="distributed"/>
    </xf>
    <xf numFmtId="0" fontId="3" fillId="0" borderId="141" xfId="0" applyFont="1" applyFill="1" applyBorder="1" applyAlignment="1">
      <alignment horizontal="distributed"/>
    </xf>
    <xf numFmtId="0" fontId="3" fillId="0" borderId="146" xfId="0" applyFont="1" applyFill="1" applyBorder="1" applyAlignment="1">
      <alignment horizontal="distributed"/>
    </xf>
    <xf numFmtId="38" fontId="3" fillId="0" borderId="91" xfId="49" applyFont="1" applyFill="1" applyBorder="1" applyAlignment="1">
      <alignment horizontal="distributed"/>
    </xf>
    <xf numFmtId="38" fontId="3" fillId="0" borderId="27" xfId="49" applyFont="1" applyFill="1" applyBorder="1" applyAlignment="1">
      <alignment horizontal="distributed"/>
    </xf>
    <xf numFmtId="38" fontId="3" fillId="0" borderId="31" xfId="49" applyFont="1" applyFill="1" applyBorder="1" applyAlignment="1">
      <alignment horizontal="distributed"/>
    </xf>
    <xf numFmtId="38" fontId="3" fillId="0" borderId="90" xfId="49" applyFont="1" applyFill="1" applyBorder="1" applyAlignment="1">
      <alignment horizontal="distributed"/>
    </xf>
    <xf numFmtId="38" fontId="3" fillId="0" borderId="35" xfId="49" applyFont="1" applyFill="1" applyBorder="1" applyAlignment="1">
      <alignment horizontal="distributed"/>
    </xf>
    <xf numFmtId="38" fontId="3" fillId="0" borderId="30" xfId="49" applyFont="1" applyFill="1" applyBorder="1" applyAlignment="1">
      <alignment horizontal="distributed"/>
    </xf>
    <xf numFmtId="38" fontId="3" fillId="0" borderId="142" xfId="49" applyFont="1" applyFill="1" applyBorder="1" applyAlignment="1">
      <alignment horizontal="distributed"/>
    </xf>
    <xf numFmtId="0" fontId="3" fillId="0" borderId="142" xfId="0" applyFont="1" applyFill="1" applyBorder="1" applyAlignment="1">
      <alignment horizontal="distributed"/>
    </xf>
    <xf numFmtId="0" fontId="3" fillId="0" borderId="147" xfId="0" applyFont="1" applyFill="1" applyBorder="1" applyAlignment="1">
      <alignment horizontal="distributed"/>
    </xf>
    <xf numFmtId="38" fontId="82" fillId="33" borderId="142" xfId="49" applyFont="1" applyFill="1" applyBorder="1" applyAlignment="1">
      <alignment horizontal="center"/>
    </xf>
    <xf numFmtId="38" fontId="3" fillId="0" borderId="91" xfId="49" applyFont="1" applyFill="1" applyBorder="1" applyAlignment="1">
      <alignment horizontal="distributed" indent="1"/>
    </xf>
    <xf numFmtId="38" fontId="3" fillId="0" borderId="27" xfId="49" applyFont="1" applyFill="1" applyBorder="1" applyAlignment="1">
      <alignment horizontal="distributed" indent="1"/>
    </xf>
    <xf numFmtId="38" fontId="3" fillId="0" borderId="31" xfId="49" applyFont="1" applyFill="1" applyBorder="1" applyAlignment="1">
      <alignment horizontal="distributed" indent="1"/>
    </xf>
    <xf numFmtId="0" fontId="28" fillId="33" borderId="35" xfId="49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distributed"/>
    </xf>
    <xf numFmtId="0" fontId="3" fillId="0" borderId="30" xfId="0" applyFont="1" applyFill="1" applyBorder="1" applyAlignment="1">
      <alignment horizontal="distributed"/>
    </xf>
    <xf numFmtId="38" fontId="84" fillId="33" borderId="141" xfId="49" applyFont="1" applyFill="1" applyBorder="1" applyAlignment="1">
      <alignment horizontal="center" shrinkToFit="1"/>
    </xf>
    <xf numFmtId="38" fontId="84" fillId="33" borderId="146" xfId="49" applyFont="1" applyFill="1" applyBorder="1" applyAlignment="1">
      <alignment horizontal="center" shrinkToFit="1"/>
    </xf>
    <xf numFmtId="38" fontId="3" fillId="0" borderId="90" xfId="49" applyFont="1" applyFill="1" applyBorder="1" applyAlignment="1">
      <alignment horizontal="distributed" indent="1"/>
    </xf>
    <xf numFmtId="38" fontId="3" fillId="0" borderId="35" xfId="49" applyFont="1" applyFill="1" applyBorder="1" applyAlignment="1">
      <alignment horizontal="distributed" indent="1"/>
    </xf>
    <xf numFmtId="38" fontId="3" fillId="0" borderId="30" xfId="49" applyFont="1" applyFill="1" applyBorder="1" applyAlignment="1">
      <alignment horizontal="distributed" indent="1"/>
    </xf>
    <xf numFmtId="38" fontId="3" fillId="0" borderId="27" xfId="49" applyFont="1" applyFill="1" applyBorder="1" applyAlignment="1">
      <alignment/>
    </xf>
    <xf numFmtId="38" fontId="3" fillId="0" borderId="31" xfId="49" applyFont="1" applyFill="1" applyBorder="1" applyAlignment="1">
      <alignment/>
    </xf>
    <xf numFmtId="38" fontId="0" fillId="0" borderId="141" xfId="49" applyNumberFormat="1" applyFont="1" applyFill="1" applyBorder="1" applyAlignment="1">
      <alignment horizontal="center" vertical="center" shrinkToFit="1"/>
    </xf>
    <xf numFmtId="0" fontId="0" fillId="0" borderId="141" xfId="49" applyNumberFormat="1" applyFont="1" applyFill="1" applyBorder="1" applyAlignment="1">
      <alignment horizontal="center" vertical="center" shrinkToFit="1"/>
    </xf>
    <xf numFmtId="0" fontId="0" fillId="0" borderId="146" xfId="49" applyNumberFormat="1" applyFont="1" applyFill="1" applyBorder="1" applyAlignment="1">
      <alignment horizontal="center" vertical="center" shrinkToFit="1"/>
    </xf>
    <xf numFmtId="38" fontId="82" fillId="33" borderId="147" xfId="49" applyFont="1" applyFill="1" applyBorder="1" applyAlignment="1">
      <alignment horizontal="center"/>
    </xf>
    <xf numFmtId="38" fontId="3" fillId="33" borderId="24" xfId="49" applyFont="1" applyFill="1" applyBorder="1" applyAlignment="1">
      <alignment horizontal="right"/>
    </xf>
    <xf numFmtId="0" fontId="3" fillId="33" borderId="24" xfId="0" applyFont="1" applyFill="1" applyBorder="1" applyAlignment="1">
      <alignment horizontal="right"/>
    </xf>
    <xf numFmtId="38" fontId="28" fillId="0" borderId="24" xfId="49" applyFont="1" applyFill="1" applyBorder="1" applyAlignment="1">
      <alignment horizontal="right"/>
    </xf>
    <xf numFmtId="38" fontId="0" fillId="0" borderId="147" xfId="49" applyFont="1" applyFill="1" applyBorder="1" applyAlignment="1">
      <alignment horizontal="center" vertical="center" shrinkToFit="1"/>
    </xf>
    <xf numFmtId="38" fontId="3" fillId="0" borderId="24" xfId="49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41" fontId="0" fillId="0" borderId="19" xfId="49" applyNumberFormat="1" applyFont="1" applyFill="1" applyBorder="1" applyAlignment="1">
      <alignment horizontal="center" vertical="center" shrinkToFit="1"/>
    </xf>
    <xf numFmtId="38" fontId="28" fillId="0" borderId="23" xfId="49" applyFont="1" applyFill="1" applyBorder="1" applyAlignment="1">
      <alignment horizontal="right"/>
    </xf>
    <xf numFmtId="38" fontId="3" fillId="0" borderId="19" xfId="49" applyFont="1" applyFill="1" applyBorder="1" applyAlignment="1">
      <alignment horizontal="distributed"/>
    </xf>
    <xf numFmtId="0" fontId="3" fillId="0" borderId="19" xfId="0" applyFont="1" applyFill="1" applyBorder="1" applyAlignment="1">
      <alignment horizontal="distributed"/>
    </xf>
    <xf numFmtId="38" fontId="3" fillId="0" borderId="24" xfId="49" applyFont="1" applyFill="1" applyBorder="1" applyAlignment="1">
      <alignment horizontal="distributed"/>
    </xf>
    <xf numFmtId="0" fontId="3" fillId="0" borderId="24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38" fontId="3" fillId="0" borderId="24" xfId="49" applyFont="1" applyFill="1" applyBorder="1" applyAlignment="1">
      <alignment horizontal="distributed"/>
    </xf>
    <xf numFmtId="0" fontId="3" fillId="0" borderId="24" xfId="0" applyFont="1" applyFill="1" applyBorder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38" fontId="3" fillId="0" borderId="19" xfId="49" applyFont="1" applyFill="1" applyBorder="1" applyAlignment="1">
      <alignment horizontal="distributed"/>
    </xf>
    <xf numFmtId="0" fontId="3" fillId="0" borderId="19" xfId="0" applyFont="1" applyFill="1" applyBorder="1" applyAlignment="1">
      <alignment horizontal="distributed"/>
    </xf>
    <xf numFmtId="0" fontId="28" fillId="0" borderId="23" xfId="49" applyNumberFormat="1" applyFont="1" applyFill="1" applyBorder="1" applyAlignment="1">
      <alignment horizontal="right"/>
    </xf>
    <xf numFmtId="0" fontId="28" fillId="0" borderId="24" xfId="49" applyNumberFormat="1" applyFont="1" applyFill="1" applyBorder="1" applyAlignment="1">
      <alignment horizontal="right"/>
    </xf>
    <xf numFmtId="38" fontId="3" fillId="0" borderId="27" xfId="49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132" xfId="0" applyFont="1" applyFill="1" applyBorder="1" applyAlignment="1">
      <alignment horizontal="right"/>
    </xf>
    <xf numFmtId="38" fontId="28" fillId="0" borderId="26" xfId="49" applyFont="1" applyFill="1" applyBorder="1" applyAlignment="1">
      <alignment horizontal="right"/>
    </xf>
    <xf numFmtId="38" fontId="28" fillId="0" borderId="27" xfId="49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38" fontId="28" fillId="0" borderId="143" xfId="49" applyFont="1" applyFill="1" applyBorder="1" applyAlignment="1">
      <alignment horizontal="distributed"/>
    </xf>
    <xf numFmtId="38" fontId="28" fillId="0" borderId="144" xfId="49" applyFont="1" applyFill="1" applyBorder="1" applyAlignment="1">
      <alignment horizontal="distributed"/>
    </xf>
    <xf numFmtId="38" fontId="28" fillId="0" borderId="28" xfId="49" applyFont="1" applyFill="1" applyBorder="1" applyAlignment="1">
      <alignment horizontal="right"/>
    </xf>
    <xf numFmtId="38" fontId="28" fillId="0" borderId="16" xfId="49" applyFont="1" applyFill="1" applyBorder="1" applyAlignment="1">
      <alignment horizontal="right"/>
    </xf>
    <xf numFmtId="38" fontId="28" fillId="0" borderId="0" xfId="49" applyFont="1" applyFill="1" applyBorder="1" applyAlignment="1">
      <alignment horizontal="center"/>
    </xf>
    <xf numFmtId="41" fontId="0" fillId="0" borderId="142" xfId="49" applyNumberFormat="1" applyFont="1" applyFill="1" applyBorder="1" applyAlignment="1">
      <alignment horizontal="center" vertical="center" shrinkToFit="1"/>
    </xf>
    <xf numFmtId="38" fontId="3" fillId="0" borderId="16" xfId="49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38" fontId="3" fillId="0" borderId="26" xfId="49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38" fontId="28" fillId="0" borderId="145" xfId="49" applyFont="1" applyFill="1" applyBorder="1" applyAlignment="1">
      <alignment horizontal="distributed"/>
    </xf>
    <xf numFmtId="0" fontId="28" fillId="0" borderId="141" xfId="0" applyFont="1" applyFill="1" applyBorder="1" applyAlignment="1">
      <alignment horizontal="distributed"/>
    </xf>
    <xf numFmtId="0" fontId="28" fillId="0" borderId="146" xfId="0" applyFont="1" applyFill="1" applyBorder="1" applyAlignment="1">
      <alignment horizontal="distributed"/>
    </xf>
    <xf numFmtId="38" fontId="3" fillId="0" borderId="82" xfId="49" applyFont="1" applyFill="1" applyBorder="1" applyAlignment="1">
      <alignment horizontal="distributed"/>
    </xf>
    <xf numFmtId="38" fontId="3" fillId="0" borderId="148" xfId="49" applyFont="1" applyFill="1" applyBorder="1" applyAlignment="1">
      <alignment horizontal="distributed"/>
    </xf>
    <xf numFmtId="0" fontId="3" fillId="0" borderId="32" xfId="0" applyFont="1" applyFill="1" applyBorder="1" applyAlignment="1">
      <alignment horizontal="right"/>
    </xf>
    <xf numFmtId="38" fontId="3" fillId="0" borderId="35" xfId="49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38" fontId="28" fillId="0" borderId="82" xfId="49" applyFont="1" applyFill="1" applyBorder="1" applyAlignment="1">
      <alignment horizontal="distributed"/>
    </xf>
    <xf numFmtId="0" fontId="3" fillId="0" borderId="36" xfId="0" applyFont="1" applyFill="1" applyBorder="1" applyAlignment="1">
      <alignment horizontal="right"/>
    </xf>
    <xf numFmtId="38" fontId="28" fillId="0" borderId="23" xfId="49" applyFont="1" applyFill="1" applyBorder="1" applyAlignment="1">
      <alignment horizontal="right" vertical="center"/>
    </xf>
    <xf numFmtId="38" fontId="28" fillId="0" borderId="24" xfId="49" applyFont="1" applyFill="1" applyBorder="1" applyAlignment="1">
      <alignment horizontal="right" vertical="center"/>
    </xf>
    <xf numFmtId="38" fontId="3" fillId="0" borderId="25" xfId="49" applyFont="1" applyFill="1" applyBorder="1" applyAlignment="1">
      <alignment horizontal="right"/>
    </xf>
    <xf numFmtId="38" fontId="3" fillId="0" borderId="21" xfId="49" applyFont="1" applyFill="1" applyBorder="1" applyAlignment="1">
      <alignment horizontal="right"/>
    </xf>
    <xf numFmtId="38" fontId="28" fillId="0" borderId="34" xfId="49" applyFont="1" applyFill="1" applyBorder="1" applyAlignment="1">
      <alignment horizontal="right" vertical="center"/>
    </xf>
    <xf numFmtId="38" fontId="28" fillId="0" borderId="35" xfId="49" applyFont="1" applyFill="1" applyBorder="1" applyAlignment="1">
      <alignment horizontal="right" vertical="center"/>
    </xf>
    <xf numFmtId="38" fontId="3" fillId="0" borderId="149" xfId="49" applyFont="1" applyFill="1" applyBorder="1" applyAlignment="1">
      <alignment horizontal="distributed"/>
    </xf>
    <xf numFmtId="38" fontId="3" fillId="0" borderId="18" xfId="49" applyFont="1" applyFill="1" applyBorder="1" applyAlignment="1">
      <alignment horizontal="distributed"/>
    </xf>
    <xf numFmtId="38" fontId="3" fillId="0" borderId="81" xfId="49" applyFont="1" applyFill="1" applyBorder="1" applyAlignment="1">
      <alignment horizontal="distributed"/>
    </xf>
    <xf numFmtId="0" fontId="3" fillId="0" borderId="35" xfId="0" applyFont="1" applyFill="1" applyBorder="1" applyAlignment="1">
      <alignment horizontal="right"/>
    </xf>
    <xf numFmtId="38" fontId="28" fillId="0" borderId="91" xfId="49" applyFont="1" applyFill="1" applyBorder="1" applyAlignment="1">
      <alignment horizontal="distributed"/>
    </xf>
    <xf numFmtId="38" fontId="28" fillId="0" borderId="27" xfId="49" applyFont="1" applyFill="1" applyBorder="1" applyAlignment="1">
      <alignment horizontal="distributed"/>
    </xf>
    <xf numFmtId="38" fontId="28" fillId="0" borderId="31" xfId="49" applyFont="1" applyFill="1" applyBorder="1" applyAlignment="1">
      <alignment horizontal="distributed"/>
    </xf>
    <xf numFmtId="38" fontId="28" fillId="0" borderId="142" xfId="49" applyFont="1" applyFill="1" applyBorder="1" applyAlignment="1">
      <alignment horizontal="distributed"/>
    </xf>
    <xf numFmtId="0" fontId="28" fillId="0" borderId="142" xfId="0" applyFont="1" applyFill="1" applyBorder="1" applyAlignment="1">
      <alignment horizontal="distributed"/>
    </xf>
    <xf numFmtId="0" fontId="28" fillId="0" borderId="147" xfId="0" applyFont="1" applyFill="1" applyBorder="1" applyAlignment="1">
      <alignment horizontal="distributed"/>
    </xf>
    <xf numFmtId="0" fontId="3" fillId="0" borderId="19" xfId="0" applyFont="1" applyFill="1" applyBorder="1" applyAlignment="1">
      <alignment/>
    </xf>
    <xf numFmtId="38" fontId="3" fillId="0" borderId="19" xfId="49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38" fontId="3" fillId="0" borderId="29" xfId="49" applyFont="1" applyFill="1" applyBorder="1" applyAlignment="1">
      <alignment vertical="top" textRotation="255" shrinkToFit="1"/>
    </xf>
    <xf numFmtId="38" fontId="5" fillId="0" borderId="29" xfId="49" applyFont="1" applyFill="1" applyBorder="1" applyAlignment="1">
      <alignment vertical="top" textRotation="255" shrinkToFit="1"/>
    </xf>
    <xf numFmtId="38" fontId="3" fillId="0" borderId="19" xfId="49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38" fontId="3" fillId="0" borderId="29" xfId="49" applyFont="1" applyFill="1" applyBorder="1" applyAlignment="1">
      <alignment horizontal="center" vertical="center"/>
    </xf>
    <xf numFmtId="38" fontId="3" fillId="0" borderId="19" xfId="49" applyFont="1" applyFill="1" applyBorder="1" applyAlignment="1">
      <alignment horizontal="center" vertical="center"/>
    </xf>
    <xf numFmtId="194" fontId="29" fillId="0" borderId="23" xfId="49" applyNumberFormat="1" applyFont="1" applyFill="1" applyBorder="1" applyAlignment="1">
      <alignment horizontal="right"/>
    </xf>
    <xf numFmtId="194" fontId="29" fillId="0" borderId="24" xfId="49" applyNumberFormat="1" applyFont="1" applyFill="1" applyBorder="1" applyAlignment="1">
      <alignment horizontal="right"/>
    </xf>
    <xf numFmtId="38" fontId="3" fillId="0" borderId="92" xfId="49" applyFont="1" applyFill="1" applyBorder="1" applyAlignment="1">
      <alignment horizontal="distributed" vertical="center"/>
    </xf>
    <xf numFmtId="38" fontId="3" fillId="0" borderId="24" xfId="49" applyFont="1" applyFill="1" applyBorder="1" applyAlignment="1">
      <alignment horizontal="distributed" vertical="center"/>
    </xf>
    <xf numFmtId="38" fontId="3" fillId="0" borderId="21" xfId="49" applyFont="1" applyFill="1" applyBorder="1" applyAlignment="1">
      <alignment horizontal="distributed" vertical="center"/>
    </xf>
    <xf numFmtId="38" fontId="3" fillId="0" borderId="29" xfId="49" applyFont="1" applyFill="1" applyBorder="1" applyAlignment="1">
      <alignment horizontal="center" vertical="center" textRotation="255"/>
    </xf>
    <xf numFmtId="0" fontId="3" fillId="0" borderId="29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194" fontId="29" fillId="0" borderId="23" xfId="49" applyNumberFormat="1" applyFont="1" applyFill="1" applyBorder="1" applyAlignment="1">
      <alignment horizontal="right" vertical="center"/>
    </xf>
    <xf numFmtId="194" fontId="29" fillId="0" borderId="24" xfId="49" applyNumberFormat="1" applyFont="1" applyFill="1" applyBorder="1" applyAlignment="1">
      <alignment horizontal="right" vertical="center"/>
    </xf>
    <xf numFmtId="194" fontId="29" fillId="0" borderId="27" xfId="49" applyNumberFormat="1" applyFont="1" applyFill="1" applyBorder="1" applyAlignment="1">
      <alignment horizontal="right"/>
    </xf>
    <xf numFmtId="38" fontId="3" fillId="0" borderId="101" xfId="49" applyFont="1" applyFill="1" applyBorder="1" applyAlignment="1">
      <alignment horizontal="right"/>
    </xf>
    <xf numFmtId="0" fontId="3" fillId="0" borderId="101" xfId="0" applyFont="1" applyFill="1" applyBorder="1" applyAlignment="1">
      <alignment horizontal="right"/>
    </xf>
    <xf numFmtId="38" fontId="3" fillId="0" borderId="150" xfId="49" applyFont="1" applyFill="1" applyBorder="1" applyAlignment="1">
      <alignment horizontal="right"/>
    </xf>
    <xf numFmtId="38" fontId="3" fillId="0" borderId="18" xfId="49" applyFont="1" applyFill="1" applyBorder="1" applyAlignment="1">
      <alignment horizontal="right"/>
    </xf>
    <xf numFmtId="38" fontId="3" fillId="0" borderId="81" xfId="49" applyFont="1" applyFill="1" applyBorder="1" applyAlignment="1">
      <alignment horizontal="right"/>
    </xf>
    <xf numFmtId="38" fontId="3" fillId="0" borderId="133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38" fontId="3" fillId="0" borderId="151" xfId="49" applyFont="1" applyFill="1" applyBorder="1" applyAlignment="1">
      <alignment horizontal="right"/>
    </xf>
    <xf numFmtId="38" fontId="3" fillId="0" borderId="29" xfId="49" applyFont="1" applyFill="1" applyBorder="1" applyAlignment="1">
      <alignment vertical="top" textRotation="255"/>
    </xf>
    <xf numFmtId="0" fontId="3" fillId="0" borderId="29" xfId="0" applyFont="1" applyFill="1" applyBorder="1" applyAlignment="1">
      <alignment vertical="top" textRotation="255"/>
    </xf>
    <xf numFmtId="0" fontId="3" fillId="0" borderId="152" xfId="0" applyFont="1" applyFill="1" applyBorder="1" applyAlignment="1">
      <alignment vertical="top" textRotation="255"/>
    </xf>
    <xf numFmtId="38" fontId="3" fillId="0" borderId="127" xfId="49" applyFont="1" applyFill="1" applyBorder="1" applyAlignment="1">
      <alignment horizontal="distributed" vertical="center"/>
    </xf>
    <xf numFmtId="38" fontId="3" fillId="0" borderId="82" xfId="49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right"/>
    </xf>
    <xf numFmtId="38" fontId="3" fillId="0" borderId="0" xfId="49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/>
    </xf>
    <xf numFmtId="38" fontId="0" fillId="0" borderId="143" xfId="49" applyFont="1" applyFill="1" applyBorder="1" applyAlignment="1">
      <alignment horizontal="distributed" vertical="center"/>
    </xf>
    <xf numFmtId="38" fontId="0" fillId="0" borderId="144" xfId="49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right" vertical="center"/>
    </xf>
    <xf numFmtId="38" fontId="0" fillId="0" borderId="143" xfId="49" applyFont="1" applyFill="1" applyBorder="1" applyAlignment="1">
      <alignment horizontal="distributed" vertical="center"/>
    </xf>
    <xf numFmtId="38" fontId="28" fillId="0" borderId="28" xfId="49" applyFont="1" applyFill="1" applyBorder="1" applyAlignment="1">
      <alignment vertical="top"/>
    </xf>
    <xf numFmtId="38" fontId="28" fillId="0" borderId="16" xfId="49" applyFont="1" applyFill="1" applyBorder="1" applyAlignment="1">
      <alignment vertical="top"/>
    </xf>
    <xf numFmtId="38" fontId="3" fillId="0" borderId="143" xfId="49" applyFont="1" applyFill="1" applyBorder="1" applyAlignment="1">
      <alignment horizontal="distributed" vertical="center"/>
    </xf>
    <xf numFmtId="38" fontId="3" fillId="0" borderId="144" xfId="49" applyFont="1" applyFill="1" applyBorder="1" applyAlignment="1">
      <alignment horizontal="distributed" vertical="center"/>
    </xf>
    <xf numFmtId="194" fontId="29" fillId="0" borderId="26" xfId="49" applyNumberFormat="1" applyFont="1" applyFill="1" applyBorder="1" applyAlignment="1">
      <alignment horizontal="right" vertical="center"/>
    </xf>
    <xf numFmtId="194" fontId="29" fillId="0" borderId="27" xfId="49" applyNumberFormat="1" applyFont="1" applyFill="1" applyBorder="1" applyAlignment="1">
      <alignment horizontal="right" vertical="center"/>
    </xf>
    <xf numFmtId="38" fontId="3" fillId="0" borderId="142" xfId="49" applyFont="1" applyFill="1" applyBorder="1" applyAlignment="1">
      <alignment horizontal="distributed" vertical="center"/>
    </xf>
    <xf numFmtId="38" fontId="28" fillId="0" borderId="28" xfId="49" applyFont="1" applyFill="1" applyBorder="1" applyAlignment="1">
      <alignment horizontal="right" vertical="top"/>
    </xf>
    <xf numFmtId="38" fontId="28" fillId="0" borderId="16" xfId="49" applyFont="1" applyFill="1" applyBorder="1" applyAlignment="1">
      <alignment horizontal="right" vertical="top"/>
    </xf>
    <xf numFmtId="38" fontId="28" fillId="0" borderId="28" xfId="49" applyFont="1" applyFill="1" applyBorder="1" applyAlignment="1">
      <alignment/>
    </xf>
    <xf numFmtId="0" fontId="28" fillId="0" borderId="16" xfId="0" applyFont="1" applyFill="1" applyBorder="1" applyAlignment="1">
      <alignment/>
    </xf>
    <xf numFmtId="194" fontId="29" fillId="0" borderId="26" xfId="49" applyNumberFormat="1" applyFont="1" applyFill="1" applyBorder="1" applyAlignment="1">
      <alignment horizontal="right"/>
    </xf>
    <xf numFmtId="38" fontId="3" fillId="0" borderId="102" xfId="49" applyFont="1" applyFill="1" applyBorder="1" applyAlignment="1">
      <alignment horizontal="distributed" vertical="center"/>
    </xf>
    <xf numFmtId="38" fontId="28" fillId="0" borderId="99" xfId="49" applyFont="1" applyFill="1" applyBorder="1" applyAlignment="1">
      <alignment horizontal="right"/>
    </xf>
    <xf numFmtId="38" fontId="28" fillId="0" borderId="0" xfId="49" applyFont="1" applyFill="1" applyBorder="1" applyAlignment="1">
      <alignment horizontal="right"/>
    </xf>
    <xf numFmtId="38" fontId="28" fillId="0" borderId="14" xfId="49" applyFont="1" applyFill="1" applyBorder="1" applyAlignment="1">
      <alignment horizontal="right"/>
    </xf>
    <xf numFmtId="38" fontId="28" fillId="0" borderId="99" xfId="49" applyFont="1" applyFill="1" applyBorder="1" applyAlignment="1">
      <alignment/>
    </xf>
    <xf numFmtId="38" fontId="28" fillId="0" borderId="0" xfId="49" applyFont="1" applyFill="1" applyBorder="1" applyAlignment="1">
      <alignment/>
    </xf>
    <xf numFmtId="38" fontId="28" fillId="0" borderId="14" xfId="49" applyFont="1" applyFill="1" applyBorder="1" applyAlignment="1">
      <alignment/>
    </xf>
    <xf numFmtId="190" fontId="28" fillId="0" borderId="0" xfId="49" applyNumberFormat="1" applyFont="1" applyFill="1" applyBorder="1" applyAlignment="1">
      <alignment horizontal="right" vertical="center"/>
    </xf>
    <xf numFmtId="190" fontId="28" fillId="0" borderId="14" xfId="49" applyNumberFormat="1" applyFont="1" applyFill="1" applyBorder="1" applyAlignment="1">
      <alignment horizontal="right" vertical="center"/>
    </xf>
    <xf numFmtId="38" fontId="28" fillId="0" borderId="16" xfId="49" applyFont="1" applyFill="1" applyBorder="1" applyAlignment="1">
      <alignment horizontal="right" vertical="center"/>
    </xf>
    <xf numFmtId="38" fontId="28" fillId="0" borderId="15" xfId="49" applyFont="1" applyFill="1" applyBorder="1" applyAlignment="1">
      <alignment horizontal="distributed" vertical="center" wrapText="1"/>
    </xf>
    <xf numFmtId="38" fontId="28" fillId="0" borderId="16" xfId="49" applyFont="1" applyFill="1" applyBorder="1" applyAlignment="1">
      <alignment horizontal="distributed" vertical="center" wrapText="1"/>
    </xf>
    <xf numFmtId="38" fontId="28" fillId="0" borderId="28" xfId="49" applyFont="1" applyFill="1" applyBorder="1" applyAlignment="1">
      <alignment horizontal="right" vertical="center"/>
    </xf>
    <xf numFmtId="38" fontId="28" fillId="0" borderId="13" xfId="49" applyFont="1" applyFill="1" applyBorder="1" applyAlignment="1">
      <alignment horizontal="distributed" vertical="center"/>
    </xf>
    <xf numFmtId="38" fontId="28" fillId="0" borderId="0" xfId="49" applyFont="1" applyFill="1" applyBorder="1" applyAlignment="1">
      <alignment horizontal="distributed" vertical="center"/>
    </xf>
    <xf numFmtId="190" fontId="28" fillId="0" borderId="99" xfId="49" applyNumberFormat="1" applyFont="1" applyFill="1" applyBorder="1" applyAlignment="1">
      <alignment/>
    </xf>
    <xf numFmtId="190" fontId="28" fillId="0" borderId="0" xfId="0" applyNumberFormat="1" applyFont="1" applyFill="1" applyBorder="1" applyAlignment="1">
      <alignment/>
    </xf>
    <xf numFmtId="190" fontId="28" fillId="0" borderId="14" xfId="0" applyNumberFormat="1" applyFont="1" applyFill="1" applyBorder="1" applyAlignment="1">
      <alignment/>
    </xf>
    <xf numFmtId="38" fontId="0" fillId="0" borderId="16" xfId="49" applyFont="1" applyFill="1" applyBorder="1" applyAlignment="1">
      <alignment horizontal="distributed"/>
    </xf>
    <xf numFmtId="38" fontId="3" fillId="0" borderId="153" xfId="49" applyFont="1" applyFill="1" applyBorder="1" applyAlignment="1">
      <alignment horizontal="center" vertical="distributed" textRotation="255"/>
    </xf>
    <xf numFmtId="38" fontId="3" fillId="0" borderId="154" xfId="49" applyFont="1" applyFill="1" applyBorder="1" applyAlignment="1">
      <alignment horizontal="center" vertical="distributed" textRotation="255"/>
    </xf>
    <xf numFmtId="38" fontId="3" fillId="0" borderId="143" xfId="49" applyFont="1" applyFill="1" applyBorder="1" applyAlignment="1">
      <alignment horizontal="center" vertical="distributed" textRotation="255"/>
    </xf>
    <xf numFmtId="38" fontId="3" fillId="0" borderId="10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distributed" vertical="center"/>
    </xf>
    <xf numFmtId="38" fontId="5" fillId="0" borderId="113" xfId="0" applyNumberFormat="1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4" xfId="0" applyFont="1" applyFill="1" applyBorder="1" applyAlignment="1">
      <alignment horizontal="left" vertical="center" shrinkToFit="1"/>
    </xf>
    <xf numFmtId="38" fontId="29" fillId="0" borderId="21" xfId="0" applyNumberFormat="1" applyFont="1" applyFill="1" applyBorder="1" applyAlignment="1">
      <alignment horizontal="left" vertical="center" shrinkToFit="1"/>
    </xf>
    <xf numFmtId="0" fontId="29" fillId="0" borderId="19" xfId="0" applyFont="1" applyFill="1" applyBorder="1" applyAlignment="1">
      <alignment horizontal="left" vertical="center" shrinkToFit="1"/>
    </xf>
    <xf numFmtId="38" fontId="5" fillId="0" borderId="117" xfId="0" applyNumberFormat="1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118" xfId="0" applyFont="1" applyFill="1" applyBorder="1" applyAlignment="1">
      <alignment horizontal="left" vertical="center" shrinkToFit="1"/>
    </xf>
    <xf numFmtId="0" fontId="29" fillId="0" borderId="88" xfId="0" applyFont="1" applyFill="1" applyBorder="1" applyAlignment="1">
      <alignment horizontal="distributed" vertical="center" indent="1"/>
    </xf>
    <xf numFmtId="183" fontId="29" fillId="0" borderId="21" xfId="0" applyNumberFormat="1" applyFont="1" applyFill="1" applyBorder="1" applyAlignment="1">
      <alignment horizontal="right" vertical="center"/>
    </xf>
    <xf numFmtId="183" fontId="29" fillId="0" borderId="23" xfId="0" applyNumberFormat="1" applyFont="1" applyFill="1" applyBorder="1" applyAlignment="1">
      <alignment horizontal="right" vertical="center"/>
    </xf>
    <xf numFmtId="0" fontId="85" fillId="0" borderId="155" xfId="0" applyFont="1" applyFill="1" applyBorder="1" applyAlignment="1">
      <alignment horizontal="center" vertical="center"/>
    </xf>
    <xf numFmtId="0" fontId="85" fillId="0" borderId="103" xfId="0" applyFont="1" applyFill="1" applyBorder="1" applyAlignment="1">
      <alignment horizontal="center" vertical="center"/>
    </xf>
    <xf numFmtId="183" fontId="29" fillId="0" borderId="123" xfId="0" applyNumberFormat="1" applyFont="1" applyFill="1" applyBorder="1" applyAlignment="1">
      <alignment horizontal="right" vertical="center"/>
    </xf>
    <xf numFmtId="183" fontId="29" fillId="0" borderId="156" xfId="0" applyNumberFormat="1" applyFont="1" applyFill="1" applyBorder="1" applyAlignment="1">
      <alignment horizontal="right" vertical="center"/>
    </xf>
    <xf numFmtId="0" fontId="85" fillId="0" borderId="156" xfId="0" applyFont="1" applyFill="1" applyBorder="1" applyAlignment="1">
      <alignment horizontal="center" vertical="center"/>
    </xf>
    <xf numFmtId="0" fontId="85" fillId="0" borderId="157" xfId="0" applyFont="1" applyFill="1" applyBorder="1" applyAlignment="1">
      <alignment horizontal="center" vertical="center"/>
    </xf>
    <xf numFmtId="183" fontId="29" fillId="0" borderId="121" xfId="0" applyNumberFormat="1" applyFont="1" applyFill="1" applyBorder="1" applyAlignment="1">
      <alignment horizontal="right" vertical="center"/>
    </xf>
    <xf numFmtId="183" fontId="29" fillId="0" borderId="155" xfId="0" applyNumberFormat="1" applyFont="1" applyFill="1" applyBorder="1" applyAlignment="1">
      <alignment horizontal="right" vertical="center"/>
    </xf>
    <xf numFmtId="0" fontId="29" fillId="0" borderId="87" xfId="0" applyFont="1" applyFill="1" applyBorder="1" applyAlignment="1">
      <alignment horizontal="distributed" vertical="center"/>
    </xf>
    <xf numFmtId="0" fontId="29" fillId="0" borderId="88" xfId="0" applyFont="1" applyFill="1" applyBorder="1" applyAlignment="1">
      <alignment horizontal="distributed" vertical="center"/>
    </xf>
    <xf numFmtId="0" fontId="29" fillId="0" borderId="89" xfId="0" applyFont="1" applyFill="1" applyBorder="1" applyAlignment="1">
      <alignment horizontal="distributed" vertical="center"/>
    </xf>
    <xf numFmtId="0" fontId="5" fillId="0" borderId="100" xfId="0" applyFont="1" applyFill="1" applyBorder="1" applyAlignment="1">
      <alignment horizontal="distributed" vertical="center"/>
    </xf>
    <xf numFmtId="0" fontId="5" fillId="0" borderId="88" xfId="0" applyFont="1" applyFill="1" applyBorder="1" applyAlignment="1">
      <alignment horizontal="distributed" vertical="center"/>
    </xf>
    <xf numFmtId="0" fontId="5" fillId="0" borderId="89" xfId="0" applyFont="1" applyFill="1" applyBorder="1" applyAlignment="1">
      <alignment horizontal="distributed" vertical="center"/>
    </xf>
    <xf numFmtId="0" fontId="85" fillId="0" borderId="23" xfId="0" applyFont="1" applyFill="1" applyBorder="1" applyAlignment="1">
      <alignment horizontal="center" vertical="center"/>
    </xf>
    <xf numFmtId="0" fontId="85" fillId="0" borderId="24" xfId="0" applyFont="1" applyFill="1" applyBorder="1" applyAlignment="1">
      <alignment horizontal="center" vertical="center"/>
    </xf>
    <xf numFmtId="183" fontId="29" fillId="0" borderId="158" xfId="0" applyNumberFormat="1" applyFont="1" applyFill="1" applyBorder="1" applyAlignment="1">
      <alignment horizontal="right" vertical="center"/>
    </xf>
    <xf numFmtId="183" fontId="29" fillId="0" borderId="159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0" fontId="29" fillId="0" borderId="159" xfId="0" applyFont="1" applyFill="1" applyBorder="1" applyAlignment="1">
      <alignment horizontal="distributed" vertical="center" indent="1"/>
    </xf>
    <xf numFmtId="0" fontId="29" fillId="0" borderId="160" xfId="0" applyFont="1" applyFill="1" applyBorder="1" applyAlignment="1">
      <alignment horizontal="distributed" vertical="center" indent="1"/>
    </xf>
    <xf numFmtId="0" fontId="29" fillId="0" borderId="158" xfId="0" applyFont="1" applyFill="1" applyBorder="1" applyAlignment="1">
      <alignment horizontal="distributed" vertical="center" indent="1"/>
    </xf>
    <xf numFmtId="183" fontId="29" fillId="0" borderId="157" xfId="0" applyNumberFormat="1" applyFont="1" applyFill="1" applyBorder="1" applyAlignment="1">
      <alignment horizontal="right" vertical="center"/>
    </xf>
    <xf numFmtId="38" fontId="5" fillId="0" borderId="119" xfId="0" applyNumberFormat="1" applyFont="1" applyFill="1" applyBorder="1" applyAlignment="1">
      <alignment horizontal="left" vertical="center" shrinkToFit="1"/>
    </xf>
    <xf numFmtId="0" fontId="5" fillId="0" borderId="105" xfId="0" applyFont="1" applyFill="1" applyBorder="1" applyAlignment="1">
      <alignment horizontal="left" vertical="center" shrinkToFit="1"/>
    </xf>
    <xf numFmtId="0" fontId="5" fillId="0" borderId="120" xfId="0" applyFont="1" applyFill="1" applyBorder="1" applyAlignment="1">
      <alignment horizontal="left" vertical="center" shrinkToFit="1"/>
    </xf>
    <xf numFmtId="38" fontId="29" fillId="0" borderId="150" xfId="0" applyNumberFormat="1" applyFont="1" applyFill="1" applyBorder="1" applyAlignment="1">
      <alignment horizontal="left" vertical="center" shrinkToFit="1"/>
    </xf>
    <xf numFmtId="0" fontId="29" fillId="0" borderId="102" xfId="0" applyFont="1" applyFill="1" applyBorder="1" applyAlignment="1">
      <alignment horizontal="left" vertical="center" shrinkToFit="1"/>
    </xf>
    <xf numFmtId="0" fontId="29" fillId="0" borderId="161" xfId="0" applyFont="1" applyFill="1" applyBorder="1" applyAlignment="1">
      <alignment horizontal="distributed" vertical="center"/>
    </xf>
    <xf numFmtId="0" fontId="29" fillId="0" borderId="157" xfId="0" applyFont="1" applyFill="1" applyBorder="1" applyAlignment="1">
      <alignment horizontal="distributed" vertical="center" indent="2"/>
    </xf>
    <xf numFmtId="0" fontId="29" fillId="0" borderId="162" xfId="0" applyFont="1" applyFill="1" applyBorder="1" applyAlignment="1">
      <alignment horizontal="distributed" vertical="center" indent="2"/>
    </xf>
    <xf numFmtId="0" fontId="5" fillId="0" borderId="111" xfId="0" applyFont="1" applyFill="1" applyBorder="1" applyAlignment="1">
      <alignment vertical="distributed" textRotation="255"/>
    </xf>
    <xf numFmtId="0" fontId="5" fillId="0" borderId="113" xfId="0" applyFont="1" applyFill="1" applyBorder="1" applyAlignment="1">
      <alignment vertical="distributed" textRotation="255"/>
    </xf>
    <xf numFmtId="0" fontId="0" fillId="0" borderId="113" xfId="0" applyFont="1" applyFill="1" applyBorder="1" applyAlignment="1">
      <alignment vertical="distributed" textRotation="255"/>
    </xf>
    <xf numFmtId="0" fontId="0" fillId="0" borderId="119" xfId="0" applyFont="1" applyFill="1" applyBorder="1" applyAlignment="1">
      <alignment vertical="distributed" textRotation="255"/>
    </xf>
    <xf numFmtId="38" fontId="29" fillId="0" borderId="121" xfId="0" applyNumberFormat="1" applyFont="1" applyFill="1" applyBorder="1" applyAlignment="1">
      <alignment horizontal="left" vertical="center" shrinkToFit="1"/>
    </xf>
    <xf numFmtId="0" fontId="29" fillId="0" borderId="104" xfId="0" applyFont="1" applyFill="1" applyBorder="1" applyAlignment="1">
      <alignment horizontal="left" vertical="center" shrinkToFit="1"/>
    </xf>
    <xf numFmtId="0" fontId="5" fillId="0" borderId="163" xfId="0" applyFont="1" applyFill="1" applyBorder="1" applyAlignment="1">
      <alignment horizontal="center" vertical="distributed" textRotation="255"/>
    </xf>
    <xf numFmtId="0" fontId="5" fillId="0" borderId="164" xfId="0" applyFont="1" applyFill="1" applyBorder="1" applyAlignment="1">
      <alignment horizontal="center" vertical="distributed" textRotation="255"/>
    </xf>
    <xf numFmtId="0" fontId="5" fillId="0" borderId="165" xfId="0" applyFont="1" applyFill="1" applyBorder="1" applyAlignment="1">
      <alignment horizontal="center" vertical="distributed" textRotation="255"/>
    </xf>
    <xf numFmtId="0" fontId="29" fillId="0" borderId="122" xfId="0" applyFont="1" applyFill="1" applyBorder="1" applyAlignment="1">
      <alignment horizontal="distributed" vertical="center" indent="1"/>
    </xf>
    <xf numFmtId="0" fontId="28" fillId="0" borderId="19" xfId="0" applyFont="1" applyBorder="1" applyAlignment="1">
      <alignment horizontal="distributed" vertical="center"/>
    </xf>
    <xf numFmtId="0" fontId="28" fillId="0" borderId="19" xfId="0" applyFont="1" applyBorder="1" applyAlignment="1">
      <alignment horizontal="center" vertical="center" textRotation="255"/>
    </xf>
    <xf numFmtId="0" fontId="29" fillId="0" borderId="1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vertical="center" shrinkToFit="1"/>
    </xf>
    <xf numFmtId="0" fontId="28" fillId="0" borderId="19" xfId="0" applyFont="1" applyBorder="1" applyAlignment="1">
      <alignment vertical="center" textRotation="255"/>
    </xf>
    <xf numFmtId="0" fontId="19" fillId="0" borderId="19" xfId="0" applyFont="1" applyBorder="1" applyAlignment="1">
      <alignment horizontal="distributed" vertical="center"/>
    </xf>
    <xf numFmtId="0" fontId="6" fillId="0" borderId="127" xfId="0" applyFont="1" applyFill="1" applyBorder="1" applyAlignment="1">
      <alignment horizontal="distributed" vertical="center"/>
    </xf>
    <xf numFmtId="0" fontId="6" fillId="0" borderId="148" xfId="0" applyFont="1" applyFill="1" applyBorder="1" applyAlignment="1">
      <alignment horizontal="distributed" vertical="center"/>
    </xf>
    <xf numFmtId="0" fontId="9" fillId="0" borderId="166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195" fontId="0" fillId="0" borderId="55" xfId="0" applyNumberFormat="1" applyFont="1" applyBorder="1" applyAlignment="1">
      <alignment horizontal="left" vertical="center"/>
    </xf>
    <xf numFmtId="195" fontId="0" fillId="0" borderId="56" xfId="0" applyNumberFormat="1" applyFont="1" applyBorder="1" applyAlignment="1">
      <alignment horizontal="left" vertical="center"/>
    </xf>
    <xf numFmtId="195" fontId="0" fillId="0" borderId="59" xfId="0" applyNumberFormat="1" applyFont="1" applyBorder="1" applyAlignment="1">
      <alignment horizontal="left" vertical="center"/>
    </xf>
    <xf numFmtId="0" fontId="0" fillId="0" borderId="128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0" fontId="0" fillId="0" borderId="167" xfId="0" applyFont="1" applyBorder="1" applyAlignment="1">
      <alignment horizontal="center" vertical="center" wrapText="1"/>
    </xf>
    <xf numFmtId="0" fontId="0" fillId="0" borderId="168" xfId="0" applyFont="1" applyBorder="1" applyAlignment="1">
      <alignment horizontal="center" vertical="center" wrapText="1"/>
    </xf>
    <xf numFmtId="0" fontId="0" fillId="0" borderId="169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9" fillId="0" borderId="128" xfId="0" applyFont="1" applyFill="1" applyBorder="1" applyAlignment="1">
      <alignment horizontal="center" vertical="center" textRotation="255"/>
    </xf>
    <xf numFmtId="0" fontId="9" fillId="0" borderId="129" xfId="0" applyFont="1" applyFill="1" applyBorder="1" applyAlignment="1">
      <alignment horizontal="center" vertical="center" textRotation="255"/>
    </xf>
    <xf numFmtId="0" fontId="9" fillId="0" borderId="168" xfId="0" applyFont="1" applyFill="1" applyBorder="1" applyAlignment="1">
      <alignment horizontal="center" vertical="center" textRotation="255"/>
    </xf>
    <xf numFmtId="197" fontId="0" fillId="0" borderId="61" xfId="0" applyNumberFormat="1" applyFont="1" applyBorder="1" applyAlignment="1">
      <alignment horizontal="left" vertical="center"/>
    </xf>
    <xf numFmtId="197" fontId="0" fillId="0" borderId="74" xfId="0" applyNumberFormat="1" applyFont="1" applyBorder="1" applyAlignment="1">
      <alignment horizontal="left" vertical="center"/>
    </xf>
    <xf numFmtId="197" fontId="0" fillId="0" borderId="62" xfId="0" applyNumberFormat="1" applyFont="1" applyBorder="1" applyAlignment="1">
      <alignment horizontal="left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28" xfId="0" applyFont="1" applyBorder="1" applyAlignment="1">
      <alignment horizontal="center" vertical="center" textRotation="255" wrapText="1"/>
    </xf>
    <xf numFmtId="0" fontId="9" fillId="0" borderId="129" xfId="0" applyFont="1" applyBorder="1" applyAlignment="1">
      <alignment horizontal="center" vertical="center" textRotation="255" wrapText="1"/>
    </xf>
    <xf numFmtId="0" fontId="9" fillId="0" borderId="168" xfId="0" applyFont="1" applyBorder="1" applyAlignment="1">
      <alignment horizontal="center" vertical="center" textRotation="255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190" fontId="28" fillId="0" borderId="170" xfId="0" applyNumberFormat="1" applyFont="1" applyFill="1" applyBorder="1" applyAlignment="1">
      <alignment horizontal="center" vertical="center"/>
    </xf>
    <xf numFmtId="190" fontId="28" fillId="0" borderId="171" xfId="0" applyNumberFormat="1" applyFont="1" applyFill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 textRotation="255" shrinkToFit="1"/>
    </xf>
    <xf numFmtId="0" fontId="14" fillId="0" borderId="129" xfId="0" applyFont="1" applyBorder="1" applyAlignment="1">
      <alignment horizontal="center" vertical="center" textRotation="255" shrinkToFit="1"/>
    </xf>
    <xf numFmtId="0" fontId="14" fillId="0" borderId="168" xfId="0" applyFont="1" applyBorder="1" applyAlignment="1">
      <alignment horizontal="center" vertical="center" textRotation="255" shrinkToFit="1"/>
    </xf>
    <xf numFmtId="0" fontId="0" fillId="0" borderId="172" xfId="0" applyFont="1" applyBorder="1" applyAlignment="1">
      <alignment horizontal="center" vertical="center"/>
    </xf>
    <xf numFmtId="0" fontId="0" fillId="0" borderId="173" xfId="0" applyFont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183" fontId="29" fillId="0" borderId="60" xfId="0" applyNumberFormat="1" applyFont="1" applyFill="1" applyBorder="1" applyAlignment="1">
      <alignment horizontal="center" vertical="center" shrinkToFit="1"/>
    </xf>
    <xf numFmtId="183" fontId="29" fillId="0" borderId="39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90" fontId="28" fillId="0" borderId="175" xfId="0" applyNumberFormat="1" applyFont="1" applyFill="1" applyBorder="1" applyAlignment="1">
      <alignment horizontal="center" vertical="center"/>
    </xf>
    <xf numFmtId="190" fontId="28" fillId="0" borderId="176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99" fontId="0" fillId="0" borderId="52" xfId="0" applyNumberFormat="1" applyFont="1" applyBorder="1" applyAlignment="1">
      <alignment horizontal="left" vertical="center"/>
    </xf>
    <xf numFmtId="199" fontId="0" fillId="0" borderId="42" xfId="0" applyNumberFormat="1" applyFont="1" applyBorder="1" applyAlignment="1">
      <alignment horizontal="left" vertical="center"/>
    </xf>
    <xf numFmtId="199" fontId="0" fillId="0" borderId="43" xfId="0" applyNumberFormat="1" applyFont="1" applyBorder="1" applyAlignment="1">
      <alignment horizontal="left" vertical="center"/>
    </xf>
    <xf numFmtId="198" fontId="0" fillId="28" borderId="53" xfId="0" applyNumberFormat="1" applyFont="1" applyFill="1" applyBorder="1" applyAlignment="1">
      <alignment horizontal="left" vertical="center"/>
    </xf>
    <xf numFmtId="198" fontId="0" fillId="28" borderId="45" xfId="0" applyNumberFormat="1" applyFont="1" applyFill="1" applyBorder="1" applyAlignment="1">
      <alignment horizontal="left" vertical="center"/>
    </xf>
    <xf numFmtId="198" fontId="0" fillId="28" borderId="46" xfId="0" applyNumberFormat="1" applyFont="1" applyFill="1" applyBorder="1" applyAlignment="1">
      <alignment horizontal="left" vertical="center"/>
    </xf>
    <xf numFmtId="200" fontId="9" fillId="28" borderId="72" xfId="0" applyNumberFormat="1" applyFont="1" applyFill="1" applyBorder="1" applyAlignment="1">
      <alignment horizontal="left" vertical="center" shrinkToFit="1"/>
    </xf>
    <xf numFmtId="200" fontId="9" fillId="28" borderId="177" xfId="0" applyNumberFormat="1" applyFont="1" applyFill="1" applyBorder="1" applyAlignment="1">
      <alignment horizontal="left" vertical="center" shrinkToFit="1"/>
    </xf>
    <xf numFmtId="200" fontId="9" fillId="28" borderId="73" xfId="0" applyNumberFormat="1" applyFont="1" applyFill="1" applyBorder="1" applyAlignment="1">
      <alignment horizontal="left" vertical="center" shrinkToFit="1"/>
    </xf>
    <xf numFmtId="196" fontId="0" fillId="0" borderId="53" xfId="0" applyNumberFormat="1" applyFont="1" applyBorder="1" applyAlignment="1">
      <alignment horizontal="left" vertical="center"/>
    </xf>
    <xf numFmtId="196" fontId="0" fillId="0" borderId="45" xfId="0" applyNumberFormat="1" applyFont="1" applyBorder="1" applyAlignment="1">
      <alignment horizontal="left" vertical="center"/>
    </xf>
    <xf numFmtId="196" fontId="0" fillId="0" borderId="46" xfId="0" applyNumberFormat="1" applyFont="1" applyBorder="1" applyAlignment="1">
      <alignment horizontal="left" vertical="center"/>
    </xf>
    <xf numFmtId="0" fontId="9" fillId="0" borderId="60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74" xfId="0" applyNumberFormat="1" applyFont="1" applyFill="1" applyBorder="1" applyAlignment="1">
      <alignment horizontal="center" vertical="center"/>
    </xf>
    <xf numFmtId="183" fontId="28" fillId="0" borderId="61" xfId="49" applyNumberFormat="1" applyFont="1" applyFill="1" applyBorder="1" applyAlignment="1">
      <alignment horizontal="center" vertical="center" shrinkToFit="1"/>
    </xf>
    <xf numFmtId="183" fontId="28" fillId="0" borderId="74" xfId="49" applyNumberFormat="1" applyFont="1" applyFill="1" applyBorder="1" applyAlignment="1">
      <alignment horizontal="center" vertical="center" shrinkToFit="1"/>
    </xf>
    <xf numFmtId="38" fontId="9" fillId="0" borderId="44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183" fontId="28" fillId="0" borderId="53" xfId="49" applyNumberFormat="1" applyFont="1" applyFill="1" applyBorder="1" applyAlignment="1">
      <alignment horizontal="center" vertical="center" shrinkToFit="1"/>
    </xf>
    <xf numFmtId="183" fontId="28" fillId="0" borderId="45" xfId="49" applyNumberFormat="1" applyFont="1" applyFill="1" applyBorder="1" applyAlignment="1">
      <alignment horizontal="center" vertical="center" shrinkToFit="1"/>
    </xf>
    <xf numFmtId="38" fontId="9" fillId="0" borderId="58" xfId="0" applyNumberFormat="1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183" fontId="28" fillId="0" borderId="55" xfId="49" applyNumberFormat="1" applyFont="1" applyFill="1" applyBorder="1" applyAlignment="1">
      <alignment horizontal="center" vertical="center" shrinkToFit="1"/>
    </xf>
    <xf numFmtId="183" fontId="28" fillId="0" borderId="56" xfId="49" applyNumberFormat="1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shrinkToFit="1"/>
    </xf>
    <xf numFmtId="183" fontId="28" fillId="0" borderId="62" xfId="49" applyNumberFormat="1" applyFont="1" applyFill="1" applyBorder="1" applyAlignment="1">
      <alignment horizontal="center" vertical="center" shrinkToFit="1"/>
    </xf>
    <xf numFmtId="181" fontId="29" fillId="0" borderId="64" xfId="49" applyNumberFormat="1" applyFont="1" applyFill="1" applyBorder="1" applyAlignment="1">
      <alignment horizontal="center" vertical="center" shrinkToFit="1"/>
    </xf>
    <xf numFmtId="181" fontId="29" fillId="0" borderId="62" xfId="49" applyNumberFormat="1" applyFont="1" applyFill="1" applyBorder="1" applyAlignment="1">
      <alignment horizontal="center" vertical="center" shrinkToFit="1"/>
    </xf>
    <xf numFmtId="0" fontId="9" fillId="0" borderId="63" xfId="0" applyFont="1" applyFill="1" applyBorder="1" applyAlignment="1">
      <alignment horizontal="center" vertical="center" shrinkToFit="1"/>
    </xf>
    <xf numFmtId="183" fontId="28" fillId="0" borderId="46" xfId="49" applyNumberFormat="1" applyFont="1" applyFill="1" applyBorder="1" applyAlignment="1">
      <alignment horizontal="center" vertical="center" shrinkToFit="1"/>
    </xf>
    <xf numFmtId="181" fontId="29" fillId="0" borderId="44" xfId="49" applyNumberFormat="1" applyFont="1" applyFill="1" applyBorder="1" applyAlignment="1">
      <alignment horizontal="center" vertical="center" shrinkToFit="1"/>
    </xf>
    <xf numFmtId="181" fontId="29" fillId="0" borderId="46" xfId="49" applyNumberFormat="1" applyFont="1" applyFill="1" applyBorder="1" applyAlignment="1">
      <alignment horizontal="center" vertical="center" shrinkToFit="1"/>
    </xf>
    <xf numFmtId="181" fontId="29" fillId="0" borderId="58" xfId="49" applyNumberFormat="1" applyFont="1" applyFill="1" applyBorder="1" applyAlignment="1">
      <alignment horizontal="center" vertical="center" shrinkToFit="1"/>
    </xf>
    <xf numFmtId="181" fontId="29" fillId="0" borderId="59" xfId="49" applyNumberFormat="1" applyFont="1" applyFill="1" applyBorder="1" applyAlignment="1">
      <alignment horizontal="center" vertical="center" shrinkToFit="1"/>
    </xf>
    <xf numFmtId="183" fontId="28" fillId="0" borderId="59" xfId="49" applyNumberFormat="1" applyFont="1" applyFill="1" applyBorder="1" applyAlignment="1">
      <alignment horizontal="center" vertical="center" shrinkToFit="1"/>
    </xf>
    <xf numFmtId="183" fontId="29" fillId="0" borderId="74" xfId="0" applyNumberFormat="1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183" fontId="29" fillId="0" borderId="51" xfId="0" applyNumberFormat="1" applyFont="1" applyFill="1" applyBorder="1" applyAlignment="1">
      <alignment horizontal="center" vertical="center" shrinkToFit="1"/>
    </xf>
    <xf numFmtId="183" fontId="29" fillId="0" borderId="47" xfId="0" applyNumberFormat="1" applyFont="1" applyFill="1" applyBorder="1" applyAlignment="1">
      <alignment horizontal="center" vertical="center" shrinkToFit="1"/>
    </xf>
    <xf numFmtId="183" fontId="29" fillId="0" borderId="62" xfId="0" applyNumberFormat="1" applyFont="1" applyFill="1" applyBorder="1" applyAlignment="1">
      <alignment horizontal="center" vertical="center" shrinkToFit="1"/>
    </xf>
    <xf numFmtId="183" fontId="29" fillId="0" borderId="40" xfId="0" applyNumberFormat="1" applyFont="1" applyFill="1" applyBorder="1" applyAlignment="1">
      <alignment horizontal="center" vertical="center" shrinkToFit="1"/>
    </xf>
    <xf numFmtId="182" fontId="29" fillId="0" borderId="51" xfId="0" applyNumberFormat="1" applyFont="1" applyFill="1" applyBorder="1" applyAlignment="1">
      <alignment horizontal="center" vertical="center" shrinkToFit="1"/>
    </xf>
    <xf numFmtId="41" fontId="27" fillId="0" borderId="178" xfId="0" applyNumberFormat="1" applyFont="1" applyFill="1" applyBorder="1" applyAlignment="1">
      <alignment horizontal="center" vertical="center"/>
    </xf>
    <xf numFmtId="41" fontId="27" fillId="0" borderId="179" xfId="0" applyNumberFormat="1" applyFont="1" applyFill="1" applyBorder="1" applyAlignment="1">
      <alignment horizontal="center" vertical="center"/>
    </xf>
    <xf numFmtId="41" fontId="27" fillId="0" borderId="180" xfId="0" applyNumberFormat="1" applyFont="1" applyFill="1" applyBorder="1" applyAlignment="1">
      <alignment horizontal="center" vertical="center"/>
    </xf>
    <xf numFmtId="41" fontId="27" fillId="0" borderId="181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83" fontId="29" fillId="0" borderId="61" xfId="0" applyNumberFormat="1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28" borderId="45" xfId="0" applyFont="1" applyFill="1" applyBorder="1" applyAlignment="1">
      <alignment horizontal="center" vertical="center"/>
    </xf>
    <xf numFmtId="41" fontId="29" fillId="0" borderId="45" xfId="0" applyNumberFormat="1" applyFont="1" applyFill="1" applyBorder="1" applyAlignment="1">
      <alignment horizontal="center" vertical="center"/>
    </xf>
    <xf numFmtId="41" fontId="29" fillId="0" borderId="94" xfId="0" applyNumberFormat="1" applyFont="1" applyFill="1" applyBorder="1" applyAlignment="1">
      <alignment horizontal="center" vertical="center"/>
    </xf>
    <xf numFmtId="41" fontId="29" fillId="0" borderId="51" xfId="0" applyNumberFormat="1" applyFont="1" applyFill="1" applyBorder="1" applyAlignment="1">
      <alignment horizontal="center" vertical="center"/>
    </xf>
    <xf numFmtId="41" fontId="29" fillId="0" borderId="182" xfId="0" applyNumberFormat="1" applyFont="1" applyFill="1" applyBorder="1" applyAlignment="1">
      <alignment horizontal="center" vertical="center"/>
    </xf>
    <xf numFmtId="182" fontId="29" fillId="0" borderId="54" xfId="0" applyNumberFormat="1" applyFont="1" applyFill="1" applyBorder="1" applyAlignment="1">
      <alignment horizontal="center" vertical="center" shrinkToFit="1"/>
    </xf>
    <xf numFmtId="183" fontId="29" fillId="0" borderId="54" xfId="0" applyNumberFormat="1" applyFont="1" applyFill="1" applyBorder="1" applyAlignment="1">
      <alignment horizontal="center" vertical="center" shrinkToFit="1"/>
    </xf>
    <xf numFmtId="0" fontId="9" fillId="0" borderId="183" xfId="0" applyFont="1" applyFill="1" applyBorder="1" applyAlignment="1">
      <alignment horizontal="center" vertical="center"/>
    </xf>
    <xf numFmtId="0" fontId="9" fillId="0" borderId="173" xfId="0" applyFont="1" applyFill="1" applyBorder="1" applyAlignment="1">
      <alignment horizontal="center" vertical="center"/>
    </xf>
    <xf numFmtId="0" fontId="16" fillId="0" borderId="173" xfId="0" applyFont="1" applyFill="1" applyBorder="1" applyAlignment="1">
      <alignment horizontal="center" vertical="center"/>
    </xf>
    <xf numFmtId="0" fontId="16" fillId="0" borderId="184" xfId="0" applyFont="1" applyFill="1" applyBorder="1" applyAlignment="1">
      <alignment horizontal="center" vertical="center"/>
    </xf>
    <xf numFmtId="41" fontId="29" fillId="0" borderId="42" xfId="0" applyNumberFormat="1" applyFont="1" applyFill="1" applyBorder="1" applyAlignment="1">
      <alignment horizontal="center" vertical="center"/>
    </xf>
    <xf numFmtId="41" fontId="29" fillId="0" borderId="93" xfId="0" applyNumberFormat="1" applyFont="1" applyFill="1" applyBorder="1" applyAlignment="1">
      <alignment horizontal="center" vertical="center"/>
    </xf>
    <xf numFmtId="182" fontId="9" fillId="0" borderId="173" xfId="0" applyNumberFormat="1" applyFont="1" applyFill="1" applyBorder="1" applyAlignment="1">
      <alignment horizontal="center" vertical="center" shrinkToFit="1"/>
    </xf>
    <xf numFmtId="182" fontId="29" fillId="0" borderId="42" xfId="0" applyNumberFormat="1" applyFont="1" applyFill="1" applyBorder="1" applyAlignment="1">
      <alignment horizontal="center" vertical="center" shrinkToFit="1"/>
    </xf>
    <xf numFmtId="182" fontId="29" fillId="0" borderId="53" xfId="0" applyNumberFormat="1" applyFont="1" applyFill="1" applyBorder="1" applyAlignment="1">
      <alignment horizontal="center" vertical="center" shrinkToFit="1"/>
    </xf>
    <xf numFmtId="182" fontId="29" fillId="0" borderId="45" xfId="0" applyNumberFormat="1" applyFont="1" applyFill="1" applyBorder="1" applyAlignment="1">
      <alignment horizontal="center" vertical="center" shrinkToFit="1"/>
    </xf>
    <xf numFmtId="182" fontId="29" fillId="0" borderId="52" xfId="0" applyNumberFormat="1" applyFont="1" applyFill="1" applyBorder="1" applyAlignment="1">
      <alignment horizontal="center" vertical="center" shrinkToFit="1"/>
    </xf>
    <xf numFmtId="41" fontId="29" fillId="0" borderId="48" xfId="0" applyNumberFormat="1" applyFont="1" applyFill="1" applyBorder="1" applyAlignment="1">
      <alignment horizontal="center" vertical="center"/>
    </xf>
    <xf numFmtId="41" fontId="29" fillId="0" borderId="185" xfId="0" applyNumberFormat="1" applyFont="1" applyFill="1" applyBorder="1" applyAlignment="1">
      <alignment horizontal="center" vertical="center"/>
    </xf>
    <xf numFmtId="182" fontId="9" fillId="0" borderId="172" xfId="0" applyNumberFormat="1" applyFont="1" applyFill="1" applyBorder="1" applyAlignment="1">
      <alignment horizontal="center" vertical="center" shrinkToFit="1"/>
    </xf>
    <xf numFmtId="0" fontId="9" fillId="28" borderId="42" xfId="0" applyFont="1" applyFill="1" applyBorder="1" applyAlignment="1">
      <alignment horizontal="center" vertical="center"/>
    </xf>
    <xf numFmtId="182" fontId="29" fillId="0" borderId="43" xfId="0" applyNumberFormat="1" applyFont="1" applyFill="1" applyBorder="1" applyAlignment="1">
      <alignment horizontal="center" vertical="center" shrinkToFit="1"/>
    </xf>
    <xf numFmtId="0" fontId="9" fillId="0" borderId="75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182" fontId="9" fillId="0" borderId="65" xfId="0" applyNumberFormat="1" applyFont="1" applyFill="1" applyBorder="1" applyAlignment="1">
      <alignment horizontal="center" vertical="center" shrinkToFit="1"/>
    </xf>
    <xf numFmtId="0" fontId="9" fillId="0" borderId="183" xfId="0" applyFont="1" applyFill="1" applyBorder="1" applyAlignment="1">
      <alignment horizontal="center" vertical="center" shrinkToFit="1"/>
    </xf>
    <xf numFmtId="0" fontId="9" fillId="0" borderId="65" xfId="0" applyFont="1" applyFill="1" applyBorder="1" applyAlignment="1">
      <alignment horizontal="center" vertical="center" shrinkToFit="1"/>
    </xf>
    <xf numFmtId="41" fontId="29" fillId="28" borderId="41" xfId="49" applyNumberFormat="1" applyFont="1" applyFill="1" applyBorder="1" applyAlignment="1">
      <alignment horizontal="center" vertical="center" shrinkToFit="1"/>
    </xf>
    <xf numFmtId="41" fontId="29" fillId="28" borderId="43" xfId="49" applyNumberFormat="1" applyFont="1" applyFill="1" applyBorder="1" applyAlignment="1">
      <alignment horizontal="center" vertical="center" shrinkToFit="1"/>
    </xf>
    <xf numFmtId="182" fontId="29" fillId="0" borderId="46" xfId="0" applyNumberFormat="1" applyFont="1" applyFill="1" applyBorder="1" applyAlignment="1">
      <alignment horizontal="center" vertical="center" shrinkToFit="1"/>
    </xf>
    <xf numFmtId="182" fontId="29" fillId="0" borderId="47" xfId="0" applyNumberFormat="1" applyFont="1" applyFill="1" applyBorder="1" applyAlignment="1">
      <alignment horizontal="center" vertical="center" shrinkToFit="1"/>
    </xf>
    <xf numFmtId="41" fontId="29" fillId="28" borderId="44" xfId="49" applyNumberFormat="1" applyFont="1" applyFill="1" applyBorder="1" applyAlignment="1">
      <alignment horizontal="center" vertical="center" shrinkToFit="1"/>
    </xf>
    <xf numFmtId="41" fontId="29" fillId="28" borderId="46" xfId="49" applyNumberFormat="1" applyFont="1" applyFill="1" applyBorder="1" applyAlignment="1">
      <alignment horizontal="center" vertical="center" shrinkToFit="1"/>
    </xf>
    <xf numFmtId="41" fontId="29" fillId="0" borderId="50" xfId="49" applyNumberFormat="1" applyFont="1" applyFill="1" applyBorder="1" applyAlignment="1">
      <alignment horizontal="center" vertical="center" shrinkToFit="1"/>
    </xf>
    <xf numFmtId="41" fontId="29" fillId="0" borderId="47" xfId="49" applyNumberFormat="1" applyFont="1" applyFill="1" applyBorder="1" applyAlignment="1">
      <alignment horizontal="center" vertical="center" shrinkToFit="1"/>
    </xf>
    <xf numFmtId="182" fontId="29" fillId="0" borderId="48" xfId="0" applyNumberFormat="1" applyFont="1" applyFill="1" applyBorder="1" applyAlignment="1">
      <alignment horizontal="center" vertical="center" shrinkToFit="1"/>
    </xf>
    <xf numFmtId="182" fontId="29" fillId="0" borderId="49" xfId="0" applyNumberFormat="1" applyFont="1" applyFill="1" applyBorder="1" applyAlignment="1">
      <alignment horizontal="center" vertical="center" shrinkToFit="1"/>
    </xf>
    <xf numFmtId="41" fontId="29" fillId="0" borderId="166" xfId="0" applyNumberFormat="1" applyFont="1" applyFill="1" applyBorder="1" applyAlignment="1">
      <alignment horizontal="center" vertical="center" shrinkToFit="1"/>
    </xf>
    <xf numFmtId="41" fontId="29" fillId="0" borderId="49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2" fontId="29" fillId="0" borderId="169" xfId="0" applyNumberFormat="1" applyFont="1" applyFill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90" fontId="29" fillId="0" borderId="186" xfId="0" applyNumberFormat="1" applyFont="1" applyFill="1" applyBorder="1" applyAlignment="1">
      <alignment horizontal="center" vertical="center"/>
    </xf>
    <xf numFmtId="190" fontId="29" fillId="0" borderId="187" xfId="0" applyNumberFormat="1" applyFont="1" applyFill="1" applyBorder="1" applyAlignment="1">
      <alignment horizontal="center" vertical="center"/>
    </xf>
    <xf numFmtId="0" fontId="0" fillId="0" borderId="188" xfId="0" applyFont="1" applyFill="1" applyBorder="1" applyAlignment="1">
      <alignment horizontal="center" vertical="center"/>
    </xf>
    <xf numFmtId="0" fontId="0" fillId="0" borderId="186" xfId="0" applyFont="1" applyFill="1" applyBorder="1" applyAlignment="1">
      <alignment horizontal="center" vertical="center"/>
    </xf>
    <xf numFmtId="181" fontId="29" fillId="0" borderId="39" xfId="0" applyNumberFormat="1" applyFont="1" applyFill="1" applyBorder="1" applyAlignment="1">
      <alignment horizontal="center" vertical="center"/>
    </xf>
    <xf numFmtId="181" fontId="29" fillId="0" borderId="40" xfId="0" applyNumberFormat="1" applyFont="1" applyFill="1" applyBorder="1" applyAlignment="1">
      <alignment horizontal="center" vertical="center"/>
    </xf>
    <xf numFmtId="0" fontId="0" fillId="0" borderId="189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38" fontId="9" fillId="0" borderId="55" xfId="0" applyNumberFormat="1" applyFont="1" applyFill="1" applyBorder="1" applyAlignment="1">
      <alignment horizontal="center" vertical="center"/>
    </xf>
    <xf numFmtId="0" fontId="9" fillId="0" borderId="95" xfId="0" applyFont="1" applyFill="1" applyBorder="1" applyAlignment="1">
      <alignment horizontal="center" vertical="center"/>
    </xf>
    <xf numFmtId="0" fontId="9" fillId="0" borderId="96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9" fillId="28" borderId="94" xfId="0" applyFont="1" applyFill="1" applyBorder="1" applyAlignment="1">
      <alignment horizontal="center" vertical="center"/>
    </xf>
    <xf numFmtId="41" fontId="29" fillId="0" borderId="53" xfId="0" applyNumberFormat="1" applyFont="1" applyFill="1" applyBorder="1" applyAlignment="1">
      <alignment horizontal="center" vertical="center"/>
    </xf>
    <xf numFmtId="41" fontId="29" fillId="0" borderId="4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60" xfId="0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28" borderId="74" xfId="0" applyFont="1" applyFill="1" applyBorder="1" applyAlignment="1">
      <alignment horizontal="center" vertical="center"/>
    </xf>
    <xf numFmtId="0" fontId="9" fillId="28" borderId="190" xfId="0" applyFont="1" applyFill="1" applyBorder="1" applyAlignment="1">
      <alignment horizontal="center" vertical="center"/>
    </xf>
    <xf numFmtId="201" fontId="0" fillId="0" borderId="51" xfId="0" applyNumberFormat="1" applyFont="1" applyBorder="1" applyAlignment="1">
      <alignment horizontal="left" vertical="center"/>
    </xf>
    <xf numFmtId="201" fontId="0" fillId="0" borderId="47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191" xfId="0" applyFont="1" applyBorder="1" applyAlignment="1">
      <alignment horizontal="center" vertical="center" wrapText="1"/>
    </xf>
    <xf numFmtId="0" fontId="0" fillId="0" borderId="192" xfId="0" applyFont="1" applyBorder="1" applyAlignment="1">
      <alignment horizontal="center" vertical="center" wrapText="1"/>
    </xf>
    <xf numFmtId="0" fontId="0" fillId="0" borderId="19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76" xfId="0" applyFont="1" applyFill="1" applyBorder="1" applyAlignment="1">
      <alignment horizontal="center" vertical="center" textRotation="255"/>
    </xf>
    <xf numFmtId="0" fontId="13" fillId="0" borderId="77" xfId="0" applyFont="1" applyFill="1" applyBorder="1" applyAlignment="1">
      <alignment horizontal="center" vertical="center" textRotation="255"/>
    </xf>
    <xf numFmtId="0" fontId="13" fillId="0" borderId="72" xfId="0" applyFont="1" applyFill="1" applyBorder="1" applyAlignment="1">
      <alignment horizontal="center" vertical="center" textRotation="255"/>
    </xf>
    <xf numFmtId="0" fontId="9" fillId="0" borderId="61" xfId="0" applyFont="1" applyFill="1" applyBorder="1" applyAlignment="1">
      <alignment horizontal="center" vertical="center"/>
    </xf>
    <xf numFmtId="0" fontId="9" fillId="0" borderId="19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8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>
      <alignment horizontal="center" vertical="center"/>
    </xf>
    <xf numFmtId="49" fontId="9" fillId="0" borderId="190" xfId="0" applyNumberFormat="1" applyFont="1" applyFill="1" applyBorder="1" applyAlignment="1">
      <alignment horizontal="center" vertical="center"/>
    </xf>
    <xf numFmtId="183" fontId="36" fillId="0" borderId="64" xfId="49" applyNumberFormat="1" applyFont="1" applyFill="1" applyBorder="1" applyAlignment="1">
      <alignment horizontal="center" vertical="center"/>
    </xf>
    <xf numFmtId="183" fontId="36" fillId="0" borderId="74" xfId="49" applyNumberFormat="1" applyFont="1" applyFill="1" applyBorder="1" applyAlignment="1">
      <alignment horizontal="center" vertical="center"/>
    </xf>
    <xf numFmtId="38" fontId="9" fillId="0" borderId="53" xfId="0" applyNumberFormat="1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183" fontId="36" fillId="0" borderId="44" xfId="49" applyNumberFormat="1" applyFont="1" applyFill="1" applyBorder="1" applyAlignment="1">
      <alignment horizontal="center" vertical="center"/>
    </xf>
    <xf numFmtId="183" fontId="36" fillId="0" borderId="45" xfId="49" applyNumberFormat="1" applyFont="1" applyFill="1" applyBorder="1" applyAlignment="1">
      <alignment horizontal="center" vertical="center"/>
    </xf>
    <xf numFmtId="183" fontId="36" fillId="0" borderId="62" xfId="49" applyNumberFormat="1" applyFont="1" applyFill="1" applyBorder="1" applyAlignment="1">
      <alignment horizontal="center" vertical="center"/>
    </xf>
    <xf numFmtId="181" fontId="29" fillId="0" borderId="64" xfId="49" applyNumberFormat="1" applyFont="1" applyFill="1" applyBorder="1" applyAlignment="1">
      <alignment horizontal="center" vertical="center"/>
    </xf>
    <xf numFmtId="181" fontId="29" fillId="0" borderId="62" xfId="49" applyNumberFormat="1" applyFont="1" applyFill="1" applyBorder="1" applyAlignment="1">
      <alignment horizontal="center" vertical="center"/>
    </xf>
    <xf numFmtId="183" fontId="36" fillId="0" borderId="46" xfId="49" applyNumberFormat="1" applyFont="1" applyFill="1" applyBorder="1" applyAlignment="1">
      <alignment horizontal="center" vertical="center"/>
    </xf>
    <xf numFmtId="181" fontId="29" fillId="0" borderId="44" xfId="49" applyNumberFormat="1" applyFont="1" applyFill="1" applyBorder="1" applyAlignment="1">
      <alignment horizontal="center" vertical="center"/>
    </xf>
    <xf numFmtId="181" fontId="29" fillId="0" borderId="46" xfId="49" applyNumberFormat="1" applyFont="1" applyFill="1" applyBorder="1" applyAlignment="1">
      <alignment horizontal="center" vertical="center"/>
    </xf>
    <xf numFmtId="183" fontId="36" fillId="0" borderId="56" xfId="49" applyNumberFormat="1" applyFont="1" applyFill="1" applyBorder="1" applyAlignment="1">
      <alignment horizontal="center" vertical="center"/>
    </xf>
    <xf numFmtId="183" fontId="36" fillId="0" borderId="59" xfId="49" applyNumberFormat="1" applyFont="1" applyFill="1" applyBorder="1" applyAlignment="1">
      <alignment horizontal="center" vertical="center"/>
    </xf>
    <xf numFmtId="183" fontId="29" fillId="0" borderId="74" xfId="0" applyNumberFormat="1" applyFont="1" applyFill="1" applyBorder="1" applyAlignment="1">
      <alignment horizontal="center" vertical="center"/>
    </xf>
    <xf numFmtId="183" fontId="36" fillId="0" borderId="58" xfId="49" applyNumberFormat="1" applyFont="1" applyFill="1" applyBorder="1" applyAlignment="1">
      <alignment horizontal="center" vertical="center"/>
    </xf>
    <xf numFmtId="183" fontId="29" fillId="0" borderId="39" xfId="0" applyNumberFormat="1" applyFont="1" applyFill="1" applyBorder="1" applyAlignment="1">
      <alignment horizontal="center" vertical="center"/>
    </xf>
    <xf numFmtId="181" fontId="29" fillId="0" borderId="58" xfId="49" applyNumberFormat="1" applyFont="1" applyFill="1" applyBorder="1" applyAlignment="1">
      <alignment horizontal="center" vertical="center"/>
    </xf>
    <xf numFmtId="181" fontId="29" fillId="0" borderId="59" xfId="49" applyNumberFormat="1" applyFont="1" applyFill="1" applyBorder="1" applyAlignment="1">
      <alignment horizontal="center" vertical="center"/>
    </xf>
    <xf numFmtId="183" fontId="29" fillId="0" borderId="63" xfId="0" applyNumberFormat="1" applyFont="1" applyFill="1" applyBorder="1" applyAlignment="1">
      <alignment horizontal="center" vertical="center"/>
    </xf>
    <xf numFmtId="183" fontId="29" fillId="0" borderId="64" xfId="0" applyNumberFormat="1" applyFont="1" applyFill="1" applyBorder="1" applyAlignment="1">
      <alignment horizontal="center" vertical="center"/>
    </xf>
    <xf numFmtId="183" fontId="29" fillId="0" borderId="62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183" fontId="29" fillId="0" borderId="40" xfId="0" applyNumberFormat="1" applyFont="1" applyFill="1" applyBorder="1" applyAlignment="1">
      <alignment horizontal="center" vertical="center"/>
    </xf>
    <xf numFmtId="183" fontId="29" fillId="0" borderId="51" xfId="0" applyNumberFormat="1" applyFont="1" applyFill="1" applyBorder="1" applyAlignment="1">
      <alignment horizontal="center" vertical="center"/>
    </xf>
    <xf numFmtId="183" fontId="29" fillId="0" borderId="47" xfId="0" applyNumberFormat="1" applyFont="1" applyFill="1" applyBorder="1" applyAlignment="1">
      <alignment horizontal="center" vertical="center"/>
    </xf>
    <xf numFmtId="183" fontId="29" fillId="0" borderId="50" xfId="0" applyNumberFormat="1" applyFont="1" applyFill="1" applyBorder="1" applyAlignment="1">
      <alignment horizontal="center" vertical="center"/>
    </xf>
    <xf numFmtId="182" fontId="29" fillId="0" borderId="74" xfId="0" applyNumberFormat="1" applyFont="1" applyFill="1" applyBorder="1" applyAlignment="1">
      <alignment horizontal="center" vertical="center"/>
    </xf>
    <xf numFmtId="182" fontId="29" fillId="0" borderId="62" xfId="0" applyNumberFormat="1" applyFont="1" applyFill="1" applyBorder="1" applyAlignment="1">
      <alignment horizontal="center" vertical="center"/>
    </xf>
    <xf numFmtId="41" fontId="29" fillId="28" borderId="64" xfId="49" applyNumberFormat="1" applyFont="1" applyFill="1" applyBorder="1" applyAlignment="1">
      <alignment horizontal="center" vertical="center"/>
    </xf>
    <xf numFmtId="41" fontId="29" fillId="28" borderId="62" xfId="49" applyNumberFormat="1" applyFont="1" applyFill="1" applyBorder="1" applyAlignment="1">
      <alignment horizontal="center" vertical="center"/>
    </xf>
    <xf numFmtId="182" fontId="29" fillId="0" borderId="39" xfId="0" applyNumberFormat="1" applyFont="1" applyFill="1" applyBorder="1" applyAlignment="1">
      <alignment horizontal="center" vertical="center"/>
    </xf>
    <xf numFmtId="182" fontId="29" fillId="0" borderId="40" xfId="0" applyNumberFormat="1" applyFont="1" applyFill="1" applyBorder="1" applyAlignment="1">
      <alignment horizontal="center" vertical="center"/>
    </xf>
    <xf numFmtId="41" fontId="29" fillId="0" borderId="61" xfId="0" applyNumberFormat="1" applyFont="1" applyFill="1" applyBorder="1" applyAlignment="1">
      <alignment horizontal="center" vertical="center"/>
    </xf>
    <xf numFmtId="41" fontId="29" fillId="0" borderId="62" xfId="0" applyNumberFormat="1" applyFont="1" applyFill="1" applyBorder="1" applyAlignment="1">
      <alignment horizontal="center" vertical="center"/>
    </xf>
    <xf numFmtId="182" fontId="29" fillId="0" borderId="64" xfId="0" applyNumberFormat="1" applyFont="1" applyFill="1" applyBorder="1" applyAlignment="1">
      <alignment horizontal="center" vertical="center"/>
    </xf>
    <xf numFmtId="182" fontId="29" fillId="0" borderId="63" xfId="0" applyNumberFormat="1" applyFont="1" applyFill="1" applyBorder="1" applyAlignment="1">
      <alignment horizontal="center" vertical="center"/>
    </xf>
    <xf numFmtId="182" fontId="29" fillId="0" borderId="45" xfId="0" applyNumberFormat="1" applyFont="1" applyFill="1" applyBorder="1" applyAlignment="1">
      <alignment horizontal="center" vertical="center"/>
    </xf>
    <xf numFmtId="182" fontId="29" fillId="0" borderId="44" xfId="0" applyNumberFormat="1" applyFont="1" applyFill="1" applyBorder="1" applyAlignment="1">
      <alignment horizontal="center" vertical="center"/>
    </xf>
    <xf numFmtId="41" fontId="29" fillId="28" borderId="44" xfId="49" applyNumberFormat="1" applyFont="1" applyFill="1" applyBorder="1" applyAlignment="1">
      <alignment horizontal="center" vertical="center"/>
    </xf>
    <xf numFmtId="41" fontId="29" fillId="28" borderId="46" xfId="49" applyNumberFormat="1" applyFont="1" applyFill="1" applyBorder="1" applyAlignment="1">
      <alignment horizontal="center" vertical="center"/>
    </xf>
    <xf numFmtId="182" fontId="29" fillId="0" borderId="46" xfId="0" applyNumberFormat="1" applyFont="1" applyFill="1" applyBorder="1" applyAlignment="1">
      <alignment horizontal="center" vertical="center"/>
    </xf>
    <xf numFmtId="41" fontId="29" fillId="0" borderId="58" xfId="49" applyNumberFormat="1" applyFont="1" applyFill="1" applyBorder="1" applyAlignment="1">
      <alignment horizontal="center" vertical="center"/>
    </xf>
    <xf numFmtId="41" fontId="29" fillId="0" borderId="59" xfId="49" applyNumberFormat="1" applyFont="1" applyFill="1" applyBorder="1" applyAlignment="1">
      <alignment horizontal="center" vertical="center"/>
    </xf>
    <xf numFmtId="182" fontId="29" fillId="0" borderId="56" xfId="0" applyNumberFormat="1" applyFont="1" applyFill="1" applyBorder="1" applyAlignment="1">
      <alignment horizontal="center" vertical="center"/>
    </xf>
    <xf numFmtId="41" fontId="29" fillId="0" borderId="55" xfId="0" applyNumberFormat="1" applyFont="1" applyFill="1" applyBorder="1" applyAlignment="1">
      <alignment horizontal="center" vertical="center"/>
    </xf>
    <xf numFmtId="41" fontId="29" fillId="0" borderId="59" xfId="0" applyNumberFormat="1" applyFont="1" applyFill="1" applyBorder="1" applyAlignment="1">
      <alignment horizontal="center" vertical="center"/>
    </xf>
    <xf numFmtId="182" fontId="29" fillId="0" borderId="58" xfId="0" applyNumberFormat="1" applyFont="1" applyFill="1" applyBorder="1" applyAlignment="1">
      <alignment horizontal="center" vertical="center"/>
    </xf>
    <xf numFmtId="41" fontId="29" fillId="0" borderId="54" xfId="0" applyNumberFormat="1" applyFont="1" applyFill="1" applyBorder="1" applyAlignment="1">
      <alignment horizontal="center" vertical="center"/>
    </xf>
    <xf numFmtId="41" fontId="29" fillId="0" borderId="47" xfId="0" applyNumberFormat="1" applyFont="1" applyFill="1" applyBorder="1" applyAlignment="1">
      <alignment horizontal="center" vertical="center"/>
    </xf>
    <xf numFmtId="182" fontId="29" fillId="0" borderId="50" xfId="0" applyNumberFormat="1" applyFont="1" applyFill="1" applyBorder="1" applyAlignment="1">
      <alignment horizontal="center" vertical="center"/>
    </xf>
    <xf numFmtId="182" fontId="29" fillId="0" borderId="51" xfId="0" applyNumberFormat="1" applyFont="1" applyFill="1" applyBorder="1" applyAlignment="1">
      <alignment horizontal="center" vertical="center"/>
    </xf>
    <xf numFmtId="182" fontId="29" fillId="0" borderId="59" xfId="0" applyNumberFormat="1" applyFont="1" applyFill="1" applyBorder="1" applyAlignment="1">
      <alignment horizontal="center" vertical="center"/>
    </xf>
    <xf numFmtId="0" fontId="9" fillId="28" borderId="93" xfId="0" applyFont="1" applyFill="1" applyBorder="1" applyAlignment="1">
      <alignment horizontal="center" vertical="center"/>
    </xf>
    <xf numFmtId="41" fontId="29" fillId="0" borderId="52" xfId="0" applyNumberFormat="1" applyFont="1" applyFill="1" applyBorder="1" applyAlignment="1">
      <alignment horizontal="center" vertical="center"/>
    </xf>
    <xf numFmtId="41" fontId="29" fillId="0" borderId="43" xfId="0" applyNumberFormat="1" applyFont="1" applyFill="1" applyBorder="1" applyAlignment="1">
      <alignment horizontal="center" vertical="center"/>
    </xf>
    <xf numFmtId="182" fontId="29" fillId="0" borderId="41" xfId="0" applyNumberFormat="1" applyFont="1" applyFill="1" applyBorder="1" applyAlignment="1">
      <alignment horizontal="center" vertical="center"/>
    </xf>
    <xf numFmtId="182" fontId="29" fillId="0" borderId="42" xfId="0" applyNumberFormat="1" applyFont="1" applyFill="1" applyBorder="1" applyAlignment="1">
      <alignment horizontal="center" vertical="center"/>
    </xf>
    <xf numFmtId="41" fontId="29" fillId="28" borderId="41" xfId="49" applyNumberFormat="1" applyFont="1" applyFill="1" applyBorder="1" applyAlignment="1">
      <alignment horizontal="center" vertical="center"/>
    </xf>
    <xf numFmtId="41" fontId="29" fillId="28" borderId="43" xfId="49" applyNumberFormat="1" applyFont="1" applyFill="1" applyBorder="1" applyAlignment="1">
      <alignment horizontal="center" vertical="center"/>
    </xf>
    <xf numFmtId="182" fontId="29" fillId="0" borderId="43" xfId="0" applyNumberFormat="1" applyFont="1" applyFill="1" applyBorder="1" applyAlignment="1">
      <alignment horizontal="center" vertical="center"/>
    </xf>
    <xf numFmtId="41" fontId="29" fillId="0" borderId="166" xfId="0" applyNumberFormat="1" applyFont="1" applyFill="1" applyBorder="1" applyAlignment="1">
      <alignment horizontal="center" vertical="center"/>
    </xf>
    <xf numFmtId="41" fontId="29" fillId="0" borderId="49" xfId="0" applyNumberFormat="1" applyFont="1" applyFill="1" applyBorder="1" applyAlignment="1">
      <alignment horizontal="center" vertical="center"/>
    </xf>
    <xf numFmtId="182" fontId="29" fillId="0" borderId="48" xfId="0" applyNumberFormat="1" applyFont="1" applyFill="1" applyBorder="1" applyAlignment="1">
      <alignment horizontal="center" vertical="center"/>
    </xf>
    <xf numFmtId="41" fontId="29" fillId="0" borderId="50" xfId="49" applyNumberFormat="1" applyFont="1" applyFill="1" applyBorder="1" applyAlignment="1">
      <alignment horizontal="center" vertical="center"/>
    </xf>
    <xf numFmtId="41" fontId="29" fillId="0" borderId="47" xfId="49" applyNumberFormat="1" applyFont="1" applyFill="1" applyBorder="1" applyAlignment="1">
      <alignment horizontal="center" vertical="center"/>
    </xf>
    <xf numFmtId="182" fontId="29" fillId="0" borderId="47" xfId="0" applyNumberFormat="1" applyFont="1" applyFill="1" applyBorder="1" applyAlignment="1">
      <alignment horizontal="center" vertical="center"/>
    </xf>
    <xf numFmtId="182" fontId="29" fillId="0" borderId="49" xfId="0" applyNumberFormat="1" applyFont="1" applyFill="1" applyBorder="1" applyAlignment="1">
      <alignment horizontal="center" vertical="center"/>
    </xf>
    <xf numFmtId="0" fontId="9" fillId="0" borderId="169" xfId="0" applyFont="1" applyFill="1" applyBorder="1" applyAlignment="1">
      <alignment horizontal="center" vertical="center"/>
    </xf>
    <xf numFmtId="0" fontId="9" fillId="0" borderId="185" xfId="0" applyFont="1" applyFill="1" applyBorder="1" applyAlignment="1">
      <alignment horizontal="center" vertical="center"/>
    </xf>
    <xf numFmtId="41" fontId="29" fillId="0" borderId="169" xfId="0" applyNumberFormat="1" applyFont="1" applyFill="1" applyBorder="1" applyAlignment="1">
      <alignment horizontal="center" vertical="center"/>
    </xf>
    <xf numFmtId="182" fontId="29" fillId="0" borderId="16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right"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left" vertical="center" indent="2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3"/>
    </xf>
    <xf numFmtId="0" fontId="87" fillId="0" borderId="149" xfId="0" applyFont="1" applyBorder="1" applyAlignment="1">
      <alignment horizontal="center" vertical="center"/>
    </xf>
    <xf numFmtId="0" fontId="87" fillId="0" borderId="151" xfId="0" applyFont="1" applyBorder="1" applyAlignment="1">
      <alignment horizontal="center" vertical="center"/>
    </xf>
    <xf numFmtId="0" fontId="3" fillId="0" borderId="149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87" fillId="0" borderId="18" xfId="0" applyFont="1" applyBorder="1" applyAlignment="1">
      <alignment horizontal="left" vertical="center"/>
    </xf>
    <xf numFmtId="0" fontId="3" fillId="0" borderId="151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87" fillId="0" borderId="15" xfId="0" applyFont="1" applyBorder="1" applyAlignment="1">
      <alignment horizontal="left" vertical="center" indent="4"/>
    </xf>
    <xf numFmtId="0" fontId="3" fillId="0" borderId="149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12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51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right" vertical="center"/>
    </xf>
    <xf numFmtId="0" fontId="3" fillId="0" borderId="140" xfId="0" applyFont="1" applyBorder="1" applyAlignment="1">
      <alignment vertical="center"/>
    </xf>
    <xf numFmtId="0" fontId="87" fillId="0" borderId="13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9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3" fillId="0" borderId="83" xfId="0" applyFont="1" applyBorder="1" applyAlignment="1">
      <alignment horizontal="center" vertical="center"/>
    </xf>
    <xf numFmtId="0" fontId="3" fillId="0" borderId="83" xfId="0" applyFont="1" applyBorder="1" applyAlignment="1">
      <alignment vertical="center"/>
    </xf>
    <xf numFmtId="0" fontId="3" fillId="0" borderId="140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/>
    </xf>
    <xf numFmtId="0" fontId="3" fillId="0" borderId="83" xfId="0" applyFont="1" applyBorder="1" applyAlignment="1">
      <alignment vertical="center" wrapText="1"/>
    </xf>
    <xf numFmtId="0" fontId="3" fillId="0" borderId="138" xfId="0" applyFont="1" applyBorder="1" applyAlignment="1">
      <alignment horizontal="center" vertical="center"/>
    </xf>
    <xf numFmtId="0" fontId="3" fillId="0" borderId="14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 indent="1"/>
    </xf>
    <xf numFmtId="0" fontId="3" fillId="0" borderId="151" xfId="0" applyFont="1" applyBorder="1" applyAlignment="1">
      <alignment horizontal="right" vertical="center" indent="1"/>
    </xf>
    <xf numFmtId="0" fontId="3" fillId="0" borderId="8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3" xfId="0" applyFont="1" applyBorder="1" applyAlignment="1">
      <alignment vertical="center" textRotation="255"/>
    </xf>
    <xf numFmtId="0" fontId="5" fillId="0" borderId="83" xfId="0" applyFont="1" applyBorder="1" applyAlignment="1">
      <alignment horizontal="center" vertical="center"/>
    </xf>
    <xf numFmtId="0" fontId="3" fillId="0" borderId="149" xfId="0" applyFont="1" applyBorder="1" applyAlignment="1">
      <alignment horizontal="right" vertical="center" indent="1"/>
    </xf>
    <xf numFmtId="0" fontId="3" fillId="0" borderId="18" xfId="0" applyFont="1" applyBorder="1" applyAlignment="1">
      <alignment horizontal="right" vertical="center" indent="1"/>
    </xf>
    <xf numFmtId="0" fontId="3" fillId="0" borderId="151" xfId="0" applyFont="1" applyBorder="1" applyAlignment="1">
      <alignment horizontal="right" vertical="center" inden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87" fillId="0" borderId="140" xfId="0" applyFont="1" applyBorder="1" applyAlignment="1">
      <alignment horizontal="center" vertical="center" textRotation="255"/>
    </xf>
    <xf numFmtId="0" fontId="87" fillId="0" borderId="149" xfId="0" applyFont="1" applyBorder="1" applyAlignment="1">
      <alignment horizontal="center"/>
    </xf>
    <xf numFmtId="0" fontId="87" fillId="0" borderId="18" xfId="0" applyFont="1" applyBorder="1" applyAlignment="1">
      <alignment horizontal="center"/>
    </xf>
    <xf numFmtId="0" fontId="87" fillId="0" borderId="151" xfId="0" applyFont="1" applyBorder="1" applyAlignment="1">
      <alignment horizontal="center"/>
    </xf>
    <xf numFmtId="0" fontId="87" fillId="0" borderId="138" xfId="0" applyFont="1" applyBorder="1" applyAlignment="1">
      <alignment horizontal="center" vertical="center" textRotation="255"/>
    </xf>
    <xf numFmtId="0" fontId="3" fillId="0" borderId="149" xfId="0" applyFont="1" applyBorder="1" applyAlignment="1">
      <alignment horizontal="center" vertical="center" wrapText="1"/>
    </xf>
    <xf numFmtId="0" fontId="3" fillId="0" borderId="151" xfId="0" applyFont="1" applyBorder="1" applyAlignment="1">
      <alignment horizontal="center" vertical="center" wrapText="1"/>
    </xf>
    <xf numFmtId="0" fontId="3" fillId="0" borderId="14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49" xfId="0" applyFont="1" applyBorder="1" applyAlignment="1">
      <alignment horizontal="center" vertical="center"/>
    </xf>
    <xf numFmtId="0" fontId="3" fillId="0" borderId="151" xfId="0" applyFont="1" applyBorder="1" applyAlignment="1">
      <alignment horizontal="center" vertical="center"/>
    </xf>
    <xf numFmtId="0" fontId="87" fillId="0" borderId="139" xfId="0" applyFont="1" applyBorder="1" applyAlignment="1">
      <alignment horizontal="center" vertical="center" textRotation="255"/>
    </xf>
    <xf numFmtId="0" fontId="3" fillId="0" borderId="140" xfId="0" applyFont="1" applyBorder="1" applyAlignment="1">
      <alignment horizontal="center" vertical="center" textRotation="255"/>
    </xf>
    <xf numFmtId="0" fontId="3" fillId="0" borderId="138" xfId="0" applyFont="1" applyBorder="1" applyAlignment="1">
      <alignment horizontal="center" vertical="center" textRotation="255"/>
    </xf>
    <xf numFmtId="0" fontId="3" fillId="0" borderId="149" xfId="0" applyFont="1" applyBorder="1" applyAlignment="1">
      <alignment horizontal="center" vertical="center" wrapText="1"/>
    </xf>
    <xf numFmtId="0" fontId="3" fillId="0" borderId="139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right" vertical="center" indent="1"/>
    </xf>
    <xf numFmtId="0" fontId="3" fillId="0" borderId="83" xfId="0" applyFont="1" applyBorder="1" applyAlignment="1">
      <alignment horizontal="left" vertical="center" indent="1"/>
    </xf>
    <xf numFmtId="0" fontId="3" fillId="0" borderId="83" xfId="0" applyFont="1" applyBorder="1" applyAlignment="1">
      <alignment horizontal="right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0" fontId="3" fillId="0" borderId="149" xfId="0" applyFont="1" applyBorder="1" applyAlignment="1">
      <alignment vertical="center"/>
    </xf>
    <xf numFmtId="0" fontId="3" fillId="0" borderId="151" xfId="0" applyFont="1" applyBorder="1" applyAlignment="1">
      <alignment vertical="center"/>
    </xf>
    <xf numFmtId="0" fontId="3" fillId="0" borderId="83" xfId="0" applyFont="1" applyBorder="1" applyAlignment="1">
      <alignment horizontal="center" vertical="center" wrapText="1"/>
    </xf>
    <xf numFmtId="0" fontId="5" fillId="0" borderId="83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20</xdr:row>
      <xdr:rowOff>66675</xdr:rowOff>
    </xdr:from>
    <xdr:to>
      <xdr:col>9</xdr:col>
      <xdr:colOff>0</xdr:colOff>
      <xdr:row>21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752600" y="5267325"/>
          <a:ext cx="35433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13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8315325" y="1381125"/>
          <a:ext cx="647700" cy="4000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2472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61"/>
  <sheetViews>
    <sheetView showGridLines="0" zoomScale="90" zoomScaleNormal="90" zoomScalePageLayoutView="0" workbookViewId="0" topLeftCell="A1">
      <selection activeCell="F34" sqref="F34"/>
    </sheetView>
  </sheetViews>
  <sheetFormatPr defaultColWidth="9.00390625" defaultRowHeight="13.5" customHeight="1"/>
  <cols>
    <col min="1" max="1" width="3.375" style="141" customWidth="1"/>
    <col min="2" max="2" width="20.75390625" style="141" bestFit="1" customWidth="1"/>
    <col min="3" max="3" width="9.875" style="207" customWidth="1"/>
    <col min="4" max="4" width="7.75390625" style="140" customWidth="1"/>
    <col min="5" max="5" width="13.125" style="141" bestFit="1" customWidth="1"/>
    <col min="6" max="6" width="33.75390625" style="141" customWidth="1"/>
    <col min="7" max="7" width="2.375" style="140" customWidth="1"/>
    <col min="8" max="8" width="2.625" style="1" bestFit="1" customWidth="1"/>
    <col min="9" max="9" width="6.25390625" style="1" customWidth="1"/>
    <col min="10" max="10" width="3.00390625" style="1" customWidth="1"/>
    <col min="11" max="11" width="2.625" style="1" customWidth="1"/>
    <col min="12" max="12" width="5.375" style="1" customWidth="1"/>
    <col min="13" max="13" width="3.125" style="1" bestFit="1" customWidth="1"/>
    <col min="14" max="38" width="2.50390625" style="22" customWidth="1"/>
    <col min="39" max="39" width="6.50390625" style="22" customWidth="1"/>
    <col min="40" max="16384" width="9.00390625" style="141" customWidth="1"/>
  </cols>
  <sheetData>
    <row r="1" spans="2:13" ht="14.25">
      <c r="B1" s="802" t="s">
        <v>17</v>
      </c>
      <c r="C1" s="802"/>
      <c r="D1" s="802"/>
      <c r="E1" s="802"/>
      <c r="F1" s="802"/>
      <c r="H1" s="904" t="s">
        <v>18</v>
      </c>
      <c r="I1" s="904"/>
      <c r="J1" s="904"/>
      <c r="K1" s="904"/>
      <c r="L1" s="904"/>
      <c r="M1" s="904"/>
    </row>
    <row r="2" spans="8:39" ht="13.5" customHeight="1">
      <c r="H2" s="905"/>
      <c r="I2" s="905"/>
      <c r="J2" s="905"/>
      <c r="K2" s="905"/>
      <c r="L2" s="905"/>
      <c r="M2" s="905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</row>
    <row r="3" spans="2:39" ht="13.5" customHeight="1">
      <c r="B3" s="186" t="s">
        <v>19</v>
      </c>
      <c r="C3" s="210" t="s">
        <v>20</v>
      </c>
      <c r="D3" s="775" t="s">
        <v>21</v>
      </c>
      <c r="E3" s="775"/>
      <c r="F3" s="805"/>
      <c r="H3" s="776" t="s">
        <v>0</v>
      </c>
      <c r="I3" s="784" t="s">
        <v>22</v>
      </c>
      <c r="J3" s="785"/>
      <c r="K3" s="785"/>
      <c r="L3" s="832" t="s">
        <v>23</v>
      </c>
      <c r="M3" s="833"/>
      <c r="N3" s="818" t="s">
        <v>24</v>
      </c>
      <c r="O3" s="819"/>
      <c r="P3" s="819" t="s">
        <v>6</v>
      </c>
      <c r="Q3" s="819"/>
      <c r="R3" s="819" t="s">
        <v>7</v>
      </c>
      <c r="S3" s="819"/>
      <c r="T3" s="819" t="s">
        <v>8</v>
      </c>
      <c r="U3" s="819"/>
      <c r="V3" s="819" t="s">
        <v>9</v>
      </c>
      <c r="W3" s="819"/>
      <c r="X3" s="819" t="s">
        <v>10</v>
      </c>
      <c r="Y3" s="819"/>
      <c r="Z3" s="819" t="s">
        <v>11</v>
      </c>
      <c r="AA3" s="819"/>
      <c r="AB3" s="819" t="s">
        <v>12</v>
      </c>
      <c r="AC3" s="819"/>
      <c r="AD3" s="819" t="s">
        <v>13</v>
      </c>
      <c r="AE3" s="819"/>
      <c r="AF3" s="819" t="s">
        <v>14</v>
      </c>
      <c r="AG3" s="819"/>
      <c r="AH3" s="819" t="s">
        <v>15</v>
      </c>
      <c r="AI3" s="819"/>
      <c r="AJ3" s="819" t="s">
        <v>16</v>
      </c>
      <c r="AK3" s="834"/>
      <c r="AL3" s="838" t="s">
        <v>25</v>
      </c>
      <c r="AM3" s="834"/>
    </row>
    <row r="4" spans="2:39" ht="13.5" customHeight="1">
      <c r="B4" s="169" t="s">
        <v>26</v>
      </c>
      <c r="C4" s="229">
        <f>+C5+C6</f>
        <v>33</v>
      </c>
      <c r="D4" s="806">
        <f>D7</f>
        <v>0.15</v>
      </c>
      <c r="E4" s="807"/>
      <c r="F4" s="808"/>
      <c r="H4" s="777"/>
      <c r="I4" s="820" t="s">
        <v>27</v>
      </c>
      <c r="J4" s="821"/>
      <c r="K4" s="821"/>
      <c r="L4" s="341">
        <f>C4</f>
        <v>33</v>
      </c>
      <c r="M4" s="342" t="s">
        <v>570</v>
      </c>
      <c r="N4" s="822">
        <f>AL4/12</f>
        <v>183.41666666666666</v>
      </c>
      <c r="O4" s="823"/>
      <c r="P4" s="823">
        <f>AL4/12</f>
        <v>183.41666666666666</v>
      </c>
      <c r="Q4" s="823"/>
      <c r="R4" s="823">
        <f>AL4/12</f>
        <v>183.41666666666666</v>
      </c>
      <c r="S4" s="823"/>
      <c r="T4" s="823">
        <f>AL4/12</f>
        <v>183.41666666666666</v>
      </c>
      <c r="U4" s="823"/>
      <c r="V4" s="823">
        <f>AL4/12</f>
        <v>183.41666666666666</v>
      </c>
      <c r="W4" s="823"/>
      <c r="X4" s="823">
        <f>AL4/12</f>
        <v>183.41666666666666</v>
      </c>
      <c r="Y4" s="823"/>
      <c r="Z4" s="823">
        <f>AL4/12</f>
        <v>183.41666666666666</v>
      </c>
      <c r="AA4" s="823"/>
      <c r="AB4" s="823">
        <f>AL4/12</f>
        <v>183.41666666666666</v>
      </c>
      <c r="AC4" s="823"/>
      <c r="AD4" s="823">
        <f>AL4/12</f>
        <v>183.41666666666666</v>
      </c>
      <c r="AE4" s="823"/>
      <c r="AF4" s="823">
        <f>AL4/12</f>
        <v>183.41666666666666</v>
      </c>
      <c r="AG4" s="823"/>
      <c r="AH4" s="823">
        <f>AL4/12</f>
        <v>183.41666666666666</v>
      </c>
      <c r="AI4" s="823"/>
      <c r="AJ4" s="823">
        <f>AL4/12</f>
        <v>183.41666666666666</v>
      </c>
      <c r="AK4" s="835"/>
      <c r="AL4" s="836">
        <f>ROUND(L4*66.7,0)</f>
        <v>2201</v>
      </c>
      <c r="AM4" s="837"/>
    </row>
    <row r="5" spans="2:39" ht="13.5" customHeight="1">
      <c r="B5" s="171" t="s">
        <v>28</v>
      </c>
      <c r="C5" s="230">
        <v>30</v>
      </c>
      <c r="D5" s="762"/>
      <c r="E5" s="763"/>
      <c r="F5" s="764"/>
      <c r="H5" s="777"/>
      <c r="I5" s="824"/>
      <c r="J5" s="825"/>
      <c r="K5" s="825"/>
      <c r="L5" s="343"/>
      <c r="M5" s="344"/>
      <c r="N5" s="826"/>
      <c r="O5" s="827"/>
      <c r="P5" s="827"/>
      <c r="Q5" s="827"/>
      <c r="R5" s="827"/>
      <c r="S5" s="827"/>
      <c r="T5" s="827"/>
      <c r="U5" s="827"/>
      <c r="V5" s="827"/>
      <c r="W5" s="827"/>
      <c r="X5" s="827"/>
      <c r="Y5" s="827"/>
      <c r="Z5" s="827"/>
      <c r="AA5" s="827"/>
      <c r="AB5" s="827"/>
      <c r="AC5" s="827"/>
      <c r="AD5" s="827"/>
      <c r="AE5" s="827"/>
      <c r="AF5" s="827"/>
      <c r="AG5" s="827"/>
      <c r="AH5" s="827"/>
      <c r="AI5" s="827"/>
      <c r="AJ5" s="827"/>
      <c r="AK5" s="839"/>
      <c r="AL5" s="840"/>
      <c r="AM5" s="841"/>
    </row>
    <row r="6" spans="2:39" ht="13.5" customHeight="1">
      <c r="B6" s="175" t="s">
        <v>29</v>
      </c>
      <c r="C6" s="231">
        <f>ROUND(C5*D6*9/14,0)</f>
        <v>3</v>
      </c>
      <c r="D6" s="765">
        <f>D7</f>
        <v>0.15</v>
      </c>
      <c r="E6" s="766"/>
      <c r="F6" s="767"/>
      <c r="H6" s="777"/>
      <c r="I6" s="828"/>
      <c r="J6" s="829"/>
      <c r="K6" s="829"/>
      <c r="L6" s="345"/>
      <c r="M6" s="346"/>
      <c r="N6" s="830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44"/>
      <c r="AL6" s="842"/>
      <c r="AM6" s="843"/>
    </row>
    <row r="7" spans="2:39" ht="13.5" customHeight="1">
      <c r="B7" s="187" t="s">
        <v>30</v>
      </c>
      <c r="C7" s="232">
        <f>ROUND(C5*0.15*5/12,0)</f>
        <v>2</v>
      </c>
      <c r="D7" s="815">
        <v>0.15</v>
      </c>
      <c r="E7" s="816"/>
      <c r="F7" s="817"/>
      <c r="H7" s="777"/>
      <c r="I7" s="784" t="s">
        <v>25</v>
      </c>
      <c r="J7" s="785"/>
      <c r="K7" s="785"/>
      <c r="L7" s="347">
        <f>SUM(L4:L6)</f>
        <v>33</v>
      </c>
      <c r="M7" s="348" t="s">
        <v>570</v>
      </c>
      <c r="N7" s="800">
        <f>SUM(N4:O6)</f>
        <v>183.41666666666666</v>
      </c>
      <c r="O7" s="801"/>
      <c r="P7" s="801">
        <f>SUM(P4:Q6)</f>
        <v>183.41666666666666</v>
      </c>
      <c r="Q7" s="801"/>
      <c r="R7" s="801">
        <f>SUM(R4:S6)</f>
        <v>183.41666666666666</v>
      </c>
      <c r="S7" s="801"/>
      <c r="T7" s="801">
        <f>SUM(T4:U6)</f>
        <v>183.41666666666666</v>
      </c>
      <c r="U7" s="801"/>
      <c r="V7" s="801">
        <f>SUM(V4:W6)</f>
        <v>183.41666666666666</v>
      </c>
      <c r="W7" s="801"/>
      <c r="X7" s="801">
        <f>SUM(X4:Y6)</f>
        <v>183.41666666666666</v>
      </c>
      <c r="Y7" s="801"/>
      <c r="Z7" s="801">
        <f>SUM(Z4:AA6)</f>
        <v>183.41666666666666</v>
      </c>
      <c r="AA7" s="801"/>
      <c r="AB7" s="801">
        <f>SUM(AB4:AC6)</f>
        <v>183.41666666666666</v>
      </c>
      <c r="AC7" s="801"/>
      <c r="AD7" s="801">
        <f>SUM(AD4:AE6)</f>
        <v>183.41666666666666</v>
      </c>
      <c r="AE7" s="801"/>
      <c r="AF7" s="801">
        <f>SUM(AF4:AG6)</f>
        <v>183.41666666666666</v>
      </c>
      <c r="AG7" s="801"/>
      <c r="AH7" s="801">
        <f>SUM(AH4:AI6)</f>
        <v>183.41666666666666</v>
      </c>
      <c r="AI7" s="801"/>
      <c r="AJ7" s="801">
        <f>SUM(AJ4:AK6)</f>
        <v>183.41666666666666</v>
      </c>
      <c r="AK7" s="850"/>
      <c r="AL7" s="203" t="s">
        <v>571</v>
      </c>
      <c r="AM7" s="202">
        <f>SUM(AL4:AM6)</f>
        <v>2201</v>
      </c>
    </row>
    <row r="8" spans="2:39" ht="13.5" customHeight="1">
      <c r="B8" s="189" t="s">
        <v>31</v>
      </c>
      <c r="C8" s="233">
        <f>ROUND(C4*D8*8/12,0)</f>
        <v>20</v>
      </c>
      <c r="D8" s="779">
        <v>0.9</v>
      </c>
      <c r="E8" s="780"/>
      <c r="F8" s="781"/>
      <c r="H8" s="777"/>
      <c r="I8" s="856" t="s">
        <v>32</v>
      </c>
      <c r="J8" s="857"/>
      <c r="K8" s="857"/>
      <c r="L8" s="852"/>
      <c r="M8" s="853"/>
      <c r="N8" s="860">
        <f>N23</f>
        <v>177.83333333333334</v>
      </c>
      <c r="O8" s="845"/>
      <c r="P8" s="845">
        <f>P23</f>
        <v>177.83333333333334</v>
      </c>
      <c r="Q8" s="845"/>
      <c r="R8" s="845">
        <f>R23</f>
        <v>177.83333333333334</v>
      </c>
      <c r="S8" s="845"/>
      <c r="T8" s="845">
        <f>T23</f>
        <v>177.83333333333334</v>
      </c>
      <c r="U8" s="845"/>
      <c r="V8" s="845">
        <f>V23</f>
        <v>177.83333333333334</v>
      </c>
      <c r="W8" s="845"/>
      <c r="X8" s="845">
        <f>X23</f>
        <v>177.83333333333334</v>
      </c>
      <c r="Y8" s="845"/>
      <c r="Z8" s="845">
        <f>Z23</f>
        <v>177.83333333333334</v>
      </c>
      <c r="AA8" s="845"/>
      <c r="AB8" s="845">
        <f>AB23</f>
        <v>177.83333333333334</v>
      </c>
      <c r="AC8" s="845"/>
      <c r="AD8" s="845">
        <f>AD23</f>
        <v>177.83333333333334</v>
      </c>
      <c r="AE8" s="845"/>
      <c r="AF8" s="845">
        <f>AF23</f>
        <v>177.83333333333334</v>
      </c>
      <c r="AG8" s="845"/>
      <c r="AH8" s="845">
        <f>AH23</f>
        <v>177.83333333333334</v>
      </c>
      <c r="AI8" s="845"/>
      <c r="AJ8" s="845">
        <f>AJ23</f>
        <v>177.83333333333334</v>
      </c>
      <c r="AK8" s="849"/>
      <c r="AL8" s="204" t="s">
        <v>572</v>
      </c>
      <c r="AM8" s="201">
        <f>SUM(N8:AK8)</f>
        <v>2133.9999999999995</v>
      </c>
    </row>
    <row r="9" spans="2:39" ht="13.5" customHeight="1">
      <c r="B9" s="171" t="s">
        <v>33</v>
      </c>
      <c r="C9" s="234">
        <f>ROUND(C4*D9,0)</f>
        <v>30</v>
      </c>
      <c r="D9" s="809">
        <v>0.9</v>
      </c>
      <c r="E9" s="810"/>
      <c r="F9" s="811"/>
      <c r="H9" s="778"/>
      <c r="I9" s="858" t="s">
        <v>34</v>
      </c>
      <c r="J9" s="859"/>
      <c r="K9" s="859"/>
      <c r="L9" s="854"/>
      <c r="M9" s="855"/>
      <c r="N9" s="870">
        <f>N28</f>
        <v>0</v>
      </c>
      <c r="O9" s="847"/>
      <c r="P9" s="847">
        <f>P28</f>
        <v>0</v>
      </c>
      <c r="Q9" s="847"/>
      <c r="R9" s="847">
        <f>R28</f>
        <v>0</v>
      </c>
      <c r="S9" s="847"/>
      <c r="T9" s="847">
        <f>T28</f>
        <v>0</v>
      </c>
      <c r="U9" s="847"/>
      <c r="V9" s="847">
        <f>V28</f>
        <v>0</v>
      </c>
      <c r="W9" s="847"/>
      <c r="X9" s="847">
        <f>X28</f>
        <v>0</v>
      </c>
      <c r="Y9" s="847"/>
      <c r="Z9" s="847">
        <f>Z28</f>
        <v>0</v>
      </c>
      <c r="AA9" s="847"/>
      <c r="AB9" s="847">
        <f>AB28</f>
        <v>0</v>
      </c>
      <c r="AC9" s="847"/>
      <c r="AD9" s="847">
        <f>AD28</f>
        <v>0</v>
      </c>
      <c r="AE9" s="847"/>
      <c r="AF9" s="847">
        <f>AF28</f>
        <v>0</v>
      </c>
      <c r="AG9" s="847"/>
      <c r="AH9" s="847">
        <f>AH28</f>
        <v>0</v>
      </c>
      <c r="AI9" s="847"/>
      <c r="AJ9" s="847">
        <f>AJ28</f>
        <v>0</v>
      </c>
      <c r="AK9" s="848"/>
      <c r="AL9" s="205" t="s">
        <v>573</v>
      </c>
      <c r="AM9" s="200">
        <f>SUM(N9:AK9)</f>
        <v>0</v>
      </c>
    </row>
    <row r="10" spans="2:39" ht="13.5" customHeight="1">
      <c r="B10" s="173" t="s">
        <v>35</v>
      </c>
      <c r="C10" s="235">
        <f>ROUND(C9*(1-D10),0)-C7</f>
        <v>27</v>
      </c>
      <c r="D10" s="812">
        <v>0.02</v>
      </c>
      <c r="E10" s="813"/>
      <c r="F10" s="814"/>
      <c r="H10" s="138"/>
      <c r="I10" s="20"/>
      <c r="J10" s="20"/>
      <c r="K10" s="20"/>
      <c r="L10" s="4"/>
      <c r="M10" s="5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23"/>
      <c r="AM10" s="23"/>
    </row>
    <row r="11" spans="2:39" ht="13.5" customHeight="1">
      <c r="B11" s="188" t="s">
        <v>36</v>
      </c>
      <c r="C11" s="236">
        <f>SUM(C4+C7+C8)</f>
        <v>55</v>
      </c>
      <c r="H11" s="138"/>
      <c r="I11" s="20"/>
      <c r="J11" s="20"/>
      <c r="K11" s="20"/>
      <c r="L11" s="4"/>
      <c r="M11" s="5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846" t="s">
        <v>37</v>
      </c>
      <c r="AI11" s="846"/>
      <c r="AJ11" s="846"/>
      <c r="AK11" s="846"/>
      <c r="AL11" s="846"/>
      <c r="AM11" s="846"/>
    </row>
    <row r="12" spans="6:39" ht="13.5" customHeight="1">
      <c r="F12" s="142" t="s">
        <v>38</v>
      </c>
      <c r="H12" s="138"/>
      <c r="I12" s="5"/>
      <c r="J12" s="5"/>
      <c r="K12" s="5"/>
      <c r="M12" s="5"/>
      <c r="N12" s="24"/>
      <c r="O12" s="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887" t="s">
        <v>39</v>
      </c>
      <c r="AI12" s="888"/>
      <c r="AJ12" s="888"/>
      <c r="AK12" s="888"/>
      <c r="AL12" s="888"/>
      <c r="AM12" s="226">
        <f>AM7-AM8-AM9</f>
        <v>67.00000000000045</v>
      </c>
    </row>
    <row r="13" spans="2:39" ht="13.5" customHeight="1">
      <c r="B13" s="186" t="s">
        <v>40</v>
      </c>
      <c r="C13" s="210" t="s">
        <v>41</v>
      </c>
      <c r="D13" s="193" t="s">
        <v>42</v>
      </c>
      <c r="E13" s="143" t="s">
        <v>43</v>
      </c>
      <c r="F13" s="144" t="s">
        <v>21</v>
      </c>
      <c r="H13" s="138"/>
      <c r="I13" s="5"/>
      <c r="J13" s="5"/>
      <c r="K13" s="5"/>
      <c r="M13" s="5"/>
      <c r="N13" s="24"/>
      <c r="O13" s="6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25"/>
    </row>
    <row r="14" spans="2:39" ht="13.5" customHeight="1">
      <c r="B14" s="169" t="s">
        <v>44</v>
      </c>
      <c r="C14" s="208">
        <f>E14*D14</f>
        <v>10044000</v>
      </c>
      <c r="D14" s="191">
        <v>372000</v>
      </c>
      <c r="E14" s="146">
        <f>C10</f>
        <v>27</v>
      </c>
      <c r="F14" s="170"/>
      <c r="H14" s="138"/>
      <c r="I14" s="5"/>
      <c r="J14" s="5"/>
      <c r="K14" s="5"/>
      <c r="M14" s="5"/>
      <c r="N14" s="24"/>
      <c r="O14" s="6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5"/>
      <c r="AM14" s="25"/>
    </row>
    <row r="15" spans="2:33" ht="13.5" customHeight="1">
      <c r="B15" s="171" t="s">
        <v>45</v>
      </c>
      <c r="C15" s="209">
        <f>SUM(C16:C19)</f>
        <v>338000</v>
      </c>
      <c r="D15" s="183"/>
      <c r="E15" s="149"/>
      <c r="F15" s="172"/>
      <c r="H15" s="138"/>
      <c r="I15" s="5"/>
      <c r="J15" s="5"/>
      <c r="K15" s="5"/>
      <c r="L15" s="6"/>
      <c r="M15" s="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2:33" ht="13.5" customHeight="1">
      <c r="B16" s="272" t="s">
        <v>46</v>
      </c>
      <c r="C16" s="227"/>
      <c r="D16" s="183"/>
      <c r="E16" s="149"/>
      <c r="F16" s="172"/>
      <c r="H16" s="904" t="s">
        <v>47</v>
      </c>
      <c r="I16" s="904"/>
      <c r="J16" s="904"/>
      <c r="K16" s="904"/>
      <c r="L16" s="904"/>
      <c r="M16" s="90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</row>
    <row r="17" spans="2:39" ht="13.5" customHeight="1">
      <c r="B17" s="272" t="s">
        <v>48</v>
      </c>
      <c r="C17" s="211">
        <f>D17*E17*0.8</f>
        <v>88000</v>
      </c>
      <c r="D17" s="183">
        <v>5000</v>
      </c>
      <c r="E17" s="149">
        <f>ROUND(C10*0.8,0)</f>
        <v>22</v>
      </c>
      <c r="F17" s="172" t="s">
        <v>633</v>
      </c>
      <c r="H17" s="905"/>
      <c r="I17" s="905"/>
      <c r="J17" s="905"/>
      <c r="K17" s="905"/>
      <c r="L17" s="905"/>
      <c r="M17" s="905"/>
      <c r="N17" s="206"/>
      <c r="O17" s="206"/>
      <c r="P17" s="206"/>
      <c r="Q17" s="20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2:39" ht="13.5" customHeight="1">
      <c r="B18" s="272" t="s">
        <v>49</v>
      </c>
      <c r="C18" s="211">
        <f>D18*E18</f>
        <v>250000</v>
      </c>
      <c r="D18" s="183">
        <v>250000</v>
      </c>
      <c r="E18" s="149">
        <f>ROUND(C4*0.02,0)</f>
        <v>1</v>
      </c>
      <c r="F18" s="172" t="s">
        <v>634</v>
      </c>
      <c r="H18" s="776" t="s">
        <v>0</v>
      </c>
      <c r="I18" s="871" t="s">
        <v>50</v>
      </c>
      <c r="J18" s="872"/>
      <c r="K18" s="872"/>
      <c r="L18" s="873" t="s">
        <v>51</v>
      </c>
      <c r="M18" s="874"/>
      <c r="N18" s="884" t="s">
        <v>24</v>
      </c>
      <c r="O18" s="877"/>
      <c r="P18" s="877" t="s">
        <v>6</v>
      </c>
      <c r="Q18" s="877"/>
      <c r="R18" s="877" t="s">
        <v>7</v>
      </c>
      <c r="S18" s="877"/>
      <c r="T18" s="877" t="s">
        <v>8</v>
      </c>
      <c r="U18" s="877"/>
      <c r="V18" s="877" t="s">
        <v>9</v>
      </c>
      <c r="W18" s="877"/>
      <c r="X18" s="877" t="s">
        <v>10</v>
      </c>
      <c r="Y18" s="877"/>
      <c r="Z18" s="877" t="s">
        <v>11</v>
      </c>
      <c r="AA18" s="877"/>
      <c r="AB18" s="877" t="s">
        <v>12</v>
      </c>
      <c r="AC18" s="877"/>
      <c r="AD18" s="877" t="s">
        <v>13</v>
      </c>
      <c r="AE18" s="877"/>
      <c r="AF18" s="877" t="s">
        <v>14</v>
      </c>
      <c r="AG18" s="877"/>
      <c r="AH18" s="877" t="s">
        <v>15</v>
      </c>
      <c r="AI18" s="877"/>
      <c r="AJ18" s="877" t="s">
        <v>16</v>
      </c>
      <c r="AK18" s="889"/>
      <c r="AL18" s="890" t="s">
        <v>52</v>
      </c>
      <c r="AM18" s="891"/>
    </row>
    <row r="19" spans="2:39" ht="13.5" customHeight="1" thickBot="1">
      <c r="B19" s="273" t="s">
        <v>53</v>
      </c>
      <c r="C19" s="228"/>
      <c r="D19" s="195"/>
      <c r="E19" s="164"/>
      <c r="F19" s="174"/>
      <c r="H19" s="777"/>
      <c r="I19" s="861" t="s">
        <v>54</v>
      </c>
      <c r="J19" s="885" t="s">
        <v>123</v>
      </c>
      <c r="K19" s="885"/>
      <c r="L19" s="875">
        <f>AL19/8</f>
        <v>137.5</v>
      </c>
      <c r="M19" s="876"/>
      <c r="N19" s="881">
        <f>AL19/12</f>
        <v>91.66666666666667</v>
      </c>
      <c r="O19" s="878"/>
      <c r="P19" s="878">
        <f>AL19/12</f>
        <v>91.66666666666667</v>
      </c>
      <c r="Q19" s="878"/>
      <c r="R19" s="878">
        <f>AL19/12</f>
        <v>91.66666666666667</v>
      </c>
      <c r="S19" s="878"/>
      <c r="T19" s="878">
        <f>AL19/12</f>
        <v>91.66666666666667</v>
      </c>
      <c r="U19" s="878"/>
      <c r="V19" s="878">
        <f>AL19/12</f>
        <v>91.66666666666667</v>
      </c>
      <c r="W19" s="878"/>
      <c r="X19" s="878">
        <f>AL19/12</f>
        <v>91.66666666666667</v>
      </c>
      <c r="Y19" s="878"/>
      <c r="Z19" s="878">
        <f>AL19/12</f>
        <v>91.66666666666667</v>
      </c>
      <c r="AA19" s="878"/>
      <c r="AB19" s="878">
        <f>AL19/12</f>
        <v>91.66666666666667</v>
      </c>
      <c r="AC19" s="878"/>
      <c r="AD19" s="878">
        <f>AL19/12</f>
        <v>91.66666666666667</v>
      </c>
      <c r="AE19" s="878"/>
      <c r="AF19" s="878">
        <f>AL19/12</f>
        <v>91.66666666666667</v>
      </c>
      <c r="AG19" s="878"/>
      <c r="AH19" s="878">
        <f>AL19/12</f>
        <v>91.66666666666667</v>
      </c>
      <c r="AI19" s="878"/>
      <c r="AJ19" s="878">
        <f>AL19/12</f>
        <v>91.66666666666667</v>
      </c>
      <c r="AK19" s="886"/>
      <c r="AL19" s="892">
        <v>1100</v>
      </c>
      <c r="AM19" s="893"/>
    </row>
    <row r="20" spans="2:39" ht="13.5" customHeight="1" thickBot="1">
      <c r="B20" s="177" t="s">
        <v>55</v>
      </c>
      <c r="C20" s="803">
        <f>SUM(C14:C15)</f>
        <v>10382000</v>
      </c>
      <c r="D20" s="804"/>
      <c r="E20" s="165"/>
      <c r="F20" s="167"/>
      <c r="H20" s="777"/>
      <c r="I20" s="862"/>
      <c r="J20" s="864" t="s">
        <v>639</v>
      </c>
      <c r="K20" s="864"/>
      <c r="L20" s="865">
        <f>AL20/8</f>
        <v>129.25</v>
      </c>
      <c r="M20" s="866"/>
      <c r="N20" s="879">
        <f>AL20/12</f>
        <v>86.16666666666667</v>
      </c>
      <c r="O20" s="880"/>
      <c r="P20" s="880">
        <f>AL20/12</f>
        <v>86.16666666666667</v>
      </c>
      <c r="Q20" s="880"/>
      <c r="R20" s="880">
        <f>AL20/12</f>
        <v>86.16666666666667</v>
      </c>
      <c r="S20" s="880"/>
      <c r="T20" s="880">
        <f>AL20/12</f>
        <v>86.16666666666667</v>
      </c>
      <c r="U20" s="880"/>
      <c r="V20" s="880">
        <f>AL20/12</f>
        <v>86.16666666666667</v>
      </c>
      <c r="W20" s="880"/>
      <c r="X20" s="880">
        <f>AL20/12</f>
        <v>86.16666666666667</v>
      </c>
      <c r="Y20" s="880"/>
      <c r="Z20" s="880">
        <f>AL20/12</f>
        <v>86.16666666666667</v>
      </c>
      <c r="AA20" s="880"/>
      <c r="AB20" s="880">
        <f>AL20/12</f>
        <v>86.16666666666667</v>
      </c>
      <c r="AC20" s="880"/>
      <c r="AD20" s="880">
        <f>AL20/12</f>
        <v>86.16666666666667</v>
      </c>
      <c r="AE20" s="880"/>
      <c r="AF20" s="880">
        <f>AL20/12</f>
        <v>86.16666666666667</v>
      </c>
      <c r="AG20" s="880"/>
      <c r="AH20" s="880">
        <f>AL20/12</f>
        <v>86.16666666666667</v>
      </c>
      <c r="AI20" s="880"/>
      <c r="AJ20" s="880">
        <f>AL20/12</f>
        <v>86.16666666666667</v>
      </c>
      <c r="AK20" s="894"/>
      <c r="AL20" s="896">
        <v>1034</v>
      </c>
      <c r="AM20" s="897"/>
    </row>
    <row r="21" spans="8:39" ht="13.5" customHeight="1">
      <c r="H21" s="777"/>
      <c r="I21" s="862"/>
      <c r="J21" s="864"/>
      <c r="K21" s="864"/>
      <c r="L21" s="865">
        <f>AL21/8</f>
        <v>0</v>
      </c>
      <c r="M21" s="866"/>
      <c r="N21" s="879">
        <f>AL21/12</f>
        <v>0</v>
      </c>
      <c r="O21" s="880"/>
      <c r="P21" s="880">
        <f>AL21/12</f>
        <v>0</v>
      </c>
      <c r="Q21" s="880"/>
      <c r="R21" s="880">
        <f>AL21/12</f>
        <v>0</v>
      </c>
      <c r="S21" s="880"/>
      <c r="T21" s="880">
        <f>AL21/12</f>
        <v>0</v>
      </c>
      <c r="U21" s="880"/>
      <c r="V21" s="880">
        <f>AL21/12</f>
        <v>0</v>
      </c>
      <c r="W21" s="880"/>
      <c r="X21" s="880">
        <f>AL21/12</f>
        <v>0</v>
      </c>
      <c r="Y21" s="880"/>
      <c r="Z21" s="880">
        <f>AL21/12</f>
        <v>0</v>
      </c>
      <c r="AA21" s="880"/>
      <c r="AB21" s="880">
        <f>AL21/12</f>
        <v>0</v>
      </c>
      <c r="AC21" s="880"/>
      <c r="AD21" s="880">
        <f>AL21/12</f>
        <v>0</v>
      </c>
      <c r="AE21" s="880"/>
      <c r="AF21" s="880">
        <f>AL21/12</f>
        <v>0</v>
      </c>
      <c r="AG21" s="880"/>
      <c r="AH21" s="880">
        <f>AL21/12</f>
        <v>0</v>
      </c>
      <c r="AI21" s="880"/>
      <c r="AJ21" s="880">
        <f>AL21/12</f>
        <v>0</v>
      </c>
      <c r="AK21" s="894"/>
      <c r="AL21" s="896"/>
      <c r="AM21" s="897"/>
    </row>
    <row r="22" spans="1:39" ht="13.5" customHeight="1">
      <c r="A22" s="782" t="s">
        <v>56</v>
      </c>
      <c r="B22" s="783"/>
      <c r="C22" s="210" t="s">
        <v>41</v>
      </c>
      <c r="D22" s="193" t="s">
        <v>42</v>
      </c>
      <c r="E22" s="143" t="s">
        <v>43</v>
      </c>
      <c r="F22" s="144" t="s">
        <v>21</v>
      </c>
      <c r="H22" s="777"/>
      <c r="I22" s="862"/>
      <c r="J22" s="864"/>
      <c r="K22" s="864"/>
      <c r="L22" s="865">
        <f>AL22/8</f>
        <v>0</v>
      </c>
      <c r="M22" s="866"/>
      <c r="N22" s="879">
        <f>AL22/12</f>
        <v>0</v>
      </c>
      <c r="O22" s="880"/>
      <c r="P22" s="880">
        <f>AL22/12</f>
        <v>0</v>
      </c>
      <c r="Q22" s="880"/>
      <c r="R22" s="880">
        <f>AL22/12</f>
        <v>0</v>
      </c>
      <c r="S22" s="880"/>
      <c r="T22" s="880">
        <f>AL22/12</f>
        <v>0</v>
      </c>
      <c r="U22" s="880"/>
      <c r="V22" s="880">
        <f>AL22/12</f>
        <v>0</v>
      </c>
      <c r="W22" s="880"/>
      <c r="X22" s="880">
        <f>AL22/12</f>
        <v>0</v>
      </c>
      <c r="Y22" s="880"/>
      <c r="Z22" s="880">
        <f>AL22/12</f>
        <v>0</v>
      </c>
      <c r="AA22" s="880"/>
      <c r="AB22" s="880">
        <f>AL22/12</f>
        <v>0</v>
      </c>
      <c r="AC22" s="880"/>
      <c r="AD22" s="880">
        <f>AL22/12</f>
        <v>0</v>
      </c>
      <c r="AE22" s="880"/>
      <c r="AF22" s="880">
        <f>AL22/12</f>
        <v>0</v>
      </c>
      <c r="AG22" s="880"/>
      <c r="AH22" s="880">
        <f>AL22/12</f>
        <v>0</v>
      </c>
      <c r="AI22" s="880"/>
      <c r="AJ22" s="880">
        <f>AL22/12</f>
        <v>0</v>
      </c>
      <c r="AK22" s="894"/>
      <c r="AL22" s="896"/>
      <c r="AM22" s="897"/>
    </row>
    <row r="23" spans="1:39" ht="13.5" customHeight="1">
      <c r="A23" s="768" t="s">
        <v>57</v>
      </c>
      <c r="B23" s="145" t="s">
        <v>58</v>
      </c>
      <c r="C23" s="208">
        <f>D23*E23</f>
        <v>239250</v>
      </c>
      <c r="D23" s="191">
        <v>7250</v>
      </c>
      <c r="E23" s="146">
        <f>C4</f>
        <v>33</v>
      </c>
      <c r="F23" s="461"/>
      <c r="H23" s="777"/>
      <c r="I23" s="863"/>
      <c r="J23" s="859" t="s">
        <v>59</v>
      </c>
      <c r="K23" s="859"/>
      <c r="L23" s="867">
        <f>SUM(L19:M22)</f>
        <v>266.75</v>
      </c>
      <c r="M23" s="868"/>
      <c r="N23" s="869">
        <f>SUM(N19:O22)</f>
        <v>177.83333333333334</v>
      </c>
      <c r="O23" s="851"/>
      <c r="P23" s="851">
        <f>SUM(P19:Q22)</f>
        <v>177.83333333333334</v>
      </c>
      <c r="Q23" s="851"/>
      <c r="R23" s="851">
        <f>SUM(R19:S22)</f>
        <v>177.83333333333334</v>
      </c>
      <c r="S23" s="851"/>
      <c r="T23" s="851">
        <f>SUM(T19:U22)</f>
        <v>177.83333333333334</v>
      </c>
      <c r="U23" s="851"/>
      <c r="V23" s="851">
        <f>SUM(V19:W22)</f>
        <v>177.83333333333334</v>
      </c>
      <c r="W23" s="851"/>
      <c r="X23" s="851">
        <f>SUM(X19:Y22)</f>
        <v>177.83333333333334</v>
      </c>
      <c r="Y23" s="851"/>
      <c r="Z23" s="851">
        <f>SUM(Z19:AA22)</f>
        <v>177.83333333333334</v>
      </c>
      <c r="AA23" s="851"/>
      <c r="AB23" s="851">
        <f>SUM(AB19:AC22)</f>
        <v>177.83333333333334</v>
      </c>
      <c r="AC23" s="851"/>
      <c r="AD23" s="851">
        <f>SUM(AD19:AE22)</f>
        <v>177.83333333333334</v>
      </c>
      <c r="AE23" s="851"/>
      <c r="AF23" s="851">
        <f>SUM(AF19:AG22)</f>
        <v>177.83333333333334</v>
      </c>
      <c r="AG23" s="851"/>
      <c r="AH23" s="851">
        <f>SUM(AH19:AI22)</f>
        <v>177.83333333333334</v>
      </c>
      <c r="AI23" s="851"/>
      <c r="AJ23" s="851">
        <f>SUM(AJ19:AK22)</f>
        <v>177.83333333333334</v>
      </c>
      <c r="AK23" s="895"/>
      <c r="AL23" s="898">
        <f>SUM(AL19:AM22)</f>
        <v>2134</v>
      </c>
      <c r="AM23" s="899"/>
    </row>
    <row r="24" spans="1:39" ht="13.5" customHeight="1">
      <c r="A24" s="769"/>
      <c r="B24" s="148" t="s">
        <v>60</v>
      </c>
      <c r="C24" s="209">
        <f>SUM(C25:C26)</f>
        <v>2486418</v>
      </c>
      <c r="D24" s="183"/>
      <c r="E24" s="149"/>
      <c r="F24" s="150"/>
      <c r="H24" s="777"/>
      <c r="I24" s="861" t="s">
        <v>61</v>
      </c>
      <c r="J24" s="885"/>
      <c r="K24" s="885"/>
      <c r="L24" s="875">
        <f>AL24/8</f>
        <v>0</v>
      </c>
      <c r="M24" s="876"/>
      <c r="N24" s="881">
        <f>AL24/12</f>
        <v>0</v>
      </c>
      <c r="O24" s="878"/>
      <c r="P24" s="878">
        <f>AL24/12</f>
        <v>0</v>
      </c>
      <c r="Q24" s="878"/>
      <c r="R24" s="878">
        <f>AL24/12</f>
        <v>0</v>
      </c>
      <c r="S24" s="878"/>
      <c r="T24" s="878">
        <f>AL24/12</f>
        <v>0</v>
      </c>
      <c r="U24" s="878"/>
      <c r="V24" s="878">
        <f>AL24/12</f>
        <v>0</v>
      </c>
      <c r="W24" s="878"/>
      <c r="X24" s="878">
        <f>AL24/12</f>
        <v>0</v>
      </c>
      <c r="Y24" s="878"/>
      <c r="Z24" s="878">
        <f>AL24/12</f>
        <v>0</v>
      </c>
      <c r="AA24" s="878"/>
      <c r="AB24" s="878">
        <f>AL24/12</f>
        <v>0</v>
      </c>
      <c r="AC24" s="878"/>
      <c r="AD24" s="878">
        <f>AL24/12</f>
        <v>0</v>
      </c>
      <c r="AE24" s="878"/>
      <c r="AF24" s="878">
        <f>AL24/12</f>
        <v>0</v>
      </c>
      <c r="AG24" s="878"/>
      <c r="AH24" s="878">
        <f>AL24/12</f>
        <v>0</v>
      </c>
      <c r="AI24" s="878"/>
      <c r="AJ24" s="878">
        <f>AL24/12</f>
        <v>0</v>
      </c>
      <c r="AK24" s="886"/>
      <c r="AL24" s="892"/>
      <c r="AM24" s="893"/>
    </row>
    <row r="25" spans="1:39" ht="13.5" customHeight="1">
      <c r="A25" s="769"/>
      <c r="B25" s="274" t="s">
        <v>62</v>
      </c>
      <c r="C25" s="211">
        <f>D25*E25</f>
        <v>1283469</v>
      </c>
      <c r="D25" s="183">
        <v>38893</v>
      </c>
      <c r="E25" s="149">
        <f>C4</f>
        <v>33</v>
      </c>
      <c r="F25" s="150"/>
      <c r="H25" s="777"/>
      <c r="I25" s="862"/>
      <c r="J25" s="864"/>
      <c r="K25" s="864"/>
      <c r="L25" s="865">
        <f>AL25/8</f>
        <v>0</v>
      </c>
      <c r="M25" s="866"/>
      <c r="N25" s="879">
        <f>AL25/12</f>
        <v>0</v>
      </c>
      <c r="O25" s="880"/>
      <c r="P25" s="880">
        <f>AL25/12</f>
        <v>0</v>
      </c>
      <c r="Q25" s="880"/>
      <c r="R25" s="880">
        <f>AL25/12</f>
        <v>0</v>
      </c>
      <c r="S25" s="880"/>
      <c r="T25" s="880">
        <f>AL25/12</f>
        <v>0</v>
      </c>
      <c r="U25" s="880"/>
      <c r="V25" s="880">
        <f>AL25/12</f>
        <v>0</v>
      </c>
      <c r="W25" s="880"/>
      <c r="X25" s="880">
        <f>AL25/12</f>
        <v>0</v>
      </c>
      <c r="Y25" s="880"/>
      <c r="Z25" s="880">
        <f>AL25/12</f>
        <v>0</v>
      </c>
      <c r="AA25" s="880"/>
      <c r="AB25" s="880">
        <f>AL25/12</f>
        <v>0</v>
      </c>
      <c r="AC25" s="880"/>
      <c r="AD25" s="880">
        <f>AL25/12</f>
        <v>0</v>
      </c>
      <c r="AE25" s="880"/>
      <c r="AF25" s="880">
        <f>AL25/12</f>
        <v>0</v>
      </c>
      <c r="AG25" s="880"/>
      <c r="AH25" s="880">
        <f>AL25/12</f>
        <v>0</v>
      </c>
      <c r="AI25" s="880"/>
      <c r="AJ25" s="880">
        <f>AL25/12</f>
        <v>0</v>
      </c>
      <c r="AK25" s="894"/>
      <c r="AL25" s="896"/>
      <c r="AM25" s="897"/>
    </row>
    <row r="26" spans="1:39" ht="13.5" customHeight="1">
      <c r="A26" s="769"/>
      <c r="B26" s="274" t="s">
        <v>63</v>
      </c>
      <c r="C26" s="211">
        <f>D26*E26</f>
        <v>1202949</v>
      </c>
      <c r="D26" s="192">
        <v>36453</v>
      </c>
      <c r="E26" s="149">
        <f>C4</f>
        <v>33</v>
      </c>
      <c r="F26" s="150"/>
      <c r="H26" s="777"/>
      <c r="I26" s="862"/>
      <c r="J26" s="864"/>
      <c r="K26" s="864"/>
      <c r="L26" s="865">
        <f>AL26/8</f>
        <v>0</v>
      </c>
      <c r="M26" s="866"/>
      <c r="N26" s="879">
        <f>AL26/12</f>
        <v>0</v>
      </c>
      <c r="O26" s="880"/>
      <c r="P26" s="880">
        <f>AL26/12</f>
        <v>0</v>
      </c>
      <c r="Q26" s="880"/>
      <c r="R26" s="880">
        <f>AL26/12</f>
        <v>0</v>
      </c>
      <c r="S26" s="880"/>
      <c r="T26" s="880">
        <f>AL26/12</f>
        <v>0</v>
      </c>
      <c r="U26" s="880"/>
      <c r="V26" s="880">
        <f>AL26/12</f>
        <v>0</v>
      </c>
      <c r="W26" s="880"/>
      <c r="X26" s="880">
        <f>AL26/12</f>
        <v>0</v>
      </c>
      <c r="Y26" s="880"/>
      <c r="Z26" s="880">
        <f>AL26/12</f>
        <v>0</v>
      </c>
      <c r="AA26" s="880"/>
      <c r="AB26" s="880">
        <f>AL26/12</f>
        <v>0</v>
      </c>
      <c r="AC26" s="880"/>
      <c r="AD26" s="880">
        <f>AL26/12</f>
        <v>0</v>
      </c>
      <c r="AE26" s="880"/>
      <c r="AF26" s="880">
        <f>AL26/12</f>
        <v>0</v>
      </c>
      <c r="AG26" s="880"/>
      <c r="AH26" s="880">
        <f>AL26/12</f>
        <v>0</v>
      </c>
      <c r="AI26" s="880"/>
      <c r="AJ26" s="880">
        <f>AL26/12</f>
        <v>0</v>
      </c>
      <c r="AK26" s="894"/>
      <c r="AL26" s="896"/>
      <c r="AM26" s="897"/>
    </row>
    <row r="27" spans="1:39" ht="13.5" customHeight="1">
      <c r="A27" s="769"/>
      <c r="B27" s="148" t="s">
        <v>64</v>
      </c>
      <c r="C27" s="209">
        <f aca="true" t="shared" si="0" ref="C27:C41">D27*E27</f>
        <v>0</v>
      </c>
      <c r="D27" s="183">
        <v>1200</v>
      </c>
      <c r="E27" s="149">
        <f>AM9</f>
        <v>0</v>
      </c>
      <c r="F27" s="150" t="s">
        <v>65</v>
      </c>
      <c r="H27" s="777"/>
      <c r="I27" s="862"/>
      <c r="J27" s="864"/>
      <c r="K27" s="864"/>
      <c r="L27" s="865">
        <f>AL27/8</f>
        <v>0</v>
      </c>
      <c r="M27" s="866"/>
      <c r="N27" s="879">
        <f>AL27/12</f>
        <v>0</v>
      </c>
      <c r="O27" s="880"/>
      <c r="P27" s="880">
        <f>AL27/12</f>
        <v>0</v>
      </c>
      <c r="Q27" s="880"/>
      <c r="R27" s="880">
        <f>AL27/12</f>
        <v>0</v>
      </c>
      <c r="S27" s="880"/>
      <c r="T27" s="880">
        <f>AL27/12</f>
        <v>0</v>
      </c>
      <c r="U27" s="880"/>
      <c r="V27" s="880">
        <f>AL27/12</f>
        <v>0</v>
      </c>
      <c r="W27" s="880"/>
      <c r="X27" s="880">
        <f>AL27/12</f>
        <v>0</v>
      </c>
      <c r="Y27" s="880"/>
      <c r="Z27" s="880">
        <f>AL27/12</f>
        <v>0</v>
      </c>
      <c r="AA27" s="880"/>
      <c r="AB27" s="880">
        <f>AL27/12</f>
        <v>0</v>
      </c>
      <c r="AC27" s="880"/>
      <c r="AD27" s="880">
        <f>AL27/12</f>
        <v>0</v>
      </c>
      <c r="AE27" s="880"/>
      <c r="AF27" s="880">
        <f>AL27/12</f>
        <v>0</v>
      </c>
      <c r="AG27" s="880"/>
      <c r="AH27" s="880">
        <f>AL27/12</f>
        <v>0</v>
      </c>
      <c r="AI27" s="880"/>
      <c r="AJ27" s="880">
        <f>AL27/12</f>
        <v>0</v>
      </c>
      <c r="AK27" s="894"/>
      <c r="AL27" s="896"/>
      <c r="AM27" s="897"/>
    </row>
    <row r="28" spans="1:39" ht="13.5" customHeight="1">
      <c r="A28" s="769"/>
      <c r="B28" s="148" t="s">
        <v>66</v>
      </c>
      <c r="C28" s="209">
        <f t="shared" si="0"/>
        <v>99000</v>
      </c>
      <c r="D28" s="183">
        <v>3000</v>
      </c>
      <c r="E28" s="149">
        <f>C4</f>
        <v>33</v>
      </c>
      <c r="F28" s="150"/>
      <c r="H28" s="777"/>
      <c r="I28" s="863"/>
      <c r="J28" s="859" t="s">
        <v>59</v>
      </c>
      <c r="K28" s="859"/>
      <c r="L28" s="867">
        <f>SUM(L24:M27)</f>
        <v>0</v>
      </c>
      <c r="M28" s="868"/>
      <c r="N28" s="869">
        <f>SUM(N24:O27)</f>
        <v>0</v>
      </c>
      <c r="O28" s="851"/>
      <c r="P28" s="851">
        <f>SUM(P24:Q27)</f>
        <v>0</v>
      </c>
      <c r="Q28" s="851"/>
      <c r="R28" s="851">
        <f>SUM(R24:S27)</f>
        <v>0</v>
      </c>
      <c r="S28" s="851"/>
      <c r="T28" s="851">
        <f>SUM(T24:U27)</f>
        <v>0</v>
      </c>
      <c r="U28" s="851"/>
      <c r="V28" s="851">
        <f>SUM(V24:W27)</f>
        <v>0</v>
      </c>
      <c r="W28" s="851"/>
      <c r="X28" s="851">
        <f>SUM(X24:Y27)</f>
        <v>0</v>
      </c>
      <c r="Y28" s="851"/>
      <c r="Z28" s="851">
        <f>SUM(Z24:AA27)</f>
        <v>0</v>
      </c>
      <c r="AA28" s="851"/>
      <c r="AB28" s="851">
        <f>SUM(AB24:AC27)</f>
        <v>0</v>
      </c>
      <c r="AC28" s="851"/>
      <c r="AD28" s="851">
        <f>SUM(AD24:AE27)</f>
        <v>0</v>
      </c>
      <c r="AE28" s="851"/>
      <c r="AF28" s="851">
        <f>SUM(AF24:AG27)</f>
        <v>0</v>
      </c>
      <c r="AG28" s="851"/>
      <c r="AH28" s="851">
        <f>SUM(AH24:AI27)</f>
        <v>0</v>
      </c>
      <c r="AI28" s="851"/>
      <c r="AJ28" s="851">
        <f>SUM(AJ24:AK27)</f>
        <v>0</v>
      </c>
      <c r="AK28" s="895"/>
      <c r="AL28" s="898">
        <f>SUM(AL24:AM27)</f>
        <v>0</v>
      </c>
      <c r="AM28" s="899"/>
    </row>
    <row r="29" spans="1:39" ht="13.5" customHeight="1">
      <c r="A29" s="769"/>
      <c r="B29" s="148" t="s">
        <v>67</v>
      </c>
      <c r="C29" s="209">
        <f t="shared" si="0"/>
        <v>78903</v>
      </c>
      <c r="D29" s="183">
        <v>2391</v>
      </c>
      <c r="E29" s="149">
        <f>C4</f>
        <v>33</v>
      </c>
      <c r="F29" s="150"/>
      <c r="H29" s="778"/>
      <c r="I29" s="760" t="s">
        <v>25</v>
      </c>
      <c r="J29" s="761"/>
      <c r="K29" s="761"/>
      <c r="L29" s="882">
        <f>SUM(L23,L28)</f>
        <v>266.75</v>
      </c>
      <c r="M29" s="883"/>
      <c r="N29" s="906">
        <f>N23+N28</f>
        <v>177.83333333333334</v>
      </c>
      <c r="O29" s="900"/>
      <c r="P29" s="900">
        <f>P23+P28</f>
        <v>177.83333333333334</v>
      </c>
      <c r="Q29" s="900"/>
      <c r="R29" s="900">
        <f>R23+R28</f>
        <v>177.83333333333334</v>
      </c>
      <c r="S29" s="900"/>
      <c r="T29" s="900">
        <f>T23+T28</f>
        <v>177.83333333333334</v>
      </c>
      <c r="U29" s="900"/>
      <c r="V29" s="900">
        <f>V23+V28</f>
        <v>177.83333333333334</v>
      </c>
      <c r="W29" s="900"/>
      <c r="X29" s="900">
        <f>X23+X28</f>
        <v>177.83333333333334</v>
      </c>
      <c r="Y29" s="900"/>
      <c r="Z29" s="900">
        <f>Z23+Z28</f>
        <v>177.83333333333334</v>
      </c>
      <c r="AA29" s="900"/>
      <c r="AB29" s="900">
        <f>AB23+AB28</f>
        <v>177.83333333333334</v>
      </c>
      <c r="AC29" s="900"/>
      <c r="AD29" s="900">
        <f>AD23+AD28</f>
        <v>177.83333333333334</v>
      </c>
      <c r="AE29" s="900"/>
      <c r="AF29" s="900">
        <f>AF23+AF28</f>
        <v>177.83333333333334</v>
      </c>
      <c r="AG29" s="900"/>
      <c r="AH29" s="900">
        <f>AH23+AH28</f>
        <v>177.83333333333334</v>
      </c>
      <c r="AI29" s="900"/>
      <c r="AJ29" s="900">
        <f>AJ23+AJ28</f>
        <v>177.83333333333334</v>
      </c>
      <c r="AK29" s="901"/>
      <c r="AL29" s="902">
        <f>SUM(N29:AK29)</f>
        <v>2133.9999999999995</v>
      </c>
      <c r="AM29" s="903"/>
    </row>
    <row r="30" spans="1:6" ht="13.5" customHeight="1">
      <c r="A30" s="769"/>
      <c r="B30" s="148" t="s">
        <v>68</v>
      </c>
      <c r="C30" s="209">
        <f t="shared" si="0"/>
        <v>420453</v>
      </c>
      <c r="D30" s="183">
        <v>12741</v>
      </c>
      <c r="E30" s="149">
        <f>C4</f>
        <v>33</v>
      </c>
      <c r="F30" s="150"/>
    </row>
    <row r="31" spans="1:6" ht="13.5" customHeight="1">
      <c r="A31" s="769"/>
      <c r="B31" s="148" t="s">
        <v>69</v>
      </c>
      <c r="C31" s="209">
        <f t="shared" si="0"/>
        <v>3854400</v>
      </c>
      <c r="D31" s="183">
        <v>116800</v>
      </c>
      <c r="E31" s="149">
        <f>C4</f>
        <v>33</v>
      </c>
      <c r="F31" s="150"/>
    </row>
    <row r="32" spans="1:6" ht="13.5" customHeight="1">
      <c r="A32" s="769"/>
      <c r="B32" s="148" t="s">
        <v>70</v>
      </c>
      <c r="C32" s="209">
        <f t="shared" si="0"/>
        <v>260700</v>
      </c>
      <c r="D32" s="183">
        <v>7900</v>
      </c>
      <c r="E32" s="149">
        <f>C4</f>
        <v>33</v>
      </c>
      <c r="F32" s="150"/>
    </row>
    <row r="33" spans="1:6" ht="13.5" customHeight="1">
      <c r="A33" s="769"/>
      <c r="B33" s="148" t="s">
        <v>71</v>
      </c>
      <c r="C33" s="209">
        <f t="shared" si="0"/>
        <v>35640</v>
      </c>
      <c r="D33" s="183">
        <v>1080</v>
      </c>
      <c r="E33" s="149">
        <f>C4</f>
        <v>33</v>
      </c>
      <c r="F33" s="150"/>
    </row>
    <row r="34" spans="1:6" ht="13.5" customHeight="1">
      <c r="A34" s="769"/>
      <c r="B34" s="148" t="s">
        <v>72</v>
      </c>
      <c r="C34" s="209">
        <f t="shared" si="0"/>
        <v>17820</v>
      </c>
      <c r="D34" s="183">
        <v>540</v>
      </c>
      <c r="E34" s="149">
        <f>C4</f>
        <v>33</v>
      </c>
      <c r="F34" s="150"/>
    </row>
    <row r="35" spans="1:6" ht="13.5" customHeight="1">
      <c r="A35" s="769"/>
      <c r="B35" s="148" t="s">
        <v>73</v>
      </c>
      <c r="C35" s="209">
        <f t="shared" si="0"/>
        <v>69000</v>
      </c>
      <c r="D35" s="183">
        <v>2300</v>
      </c>
      <c r="E35" s="149">
        <f>C9</f>
        <v>30</v>
      </c>
      <c r="F35" s="150"/>
    </row>
    <row r="36" spans="1:6" ht="13.5" customHeight="1">
      <c r="A36" s="769"/>
      <c r="B36" s="152" t="s">
        <v>74</v>
      </c>
      <c r="C36" s="212">
        <f t="shared" si="0"/>
        <v>26800</v>
      </c>
      <c r="D36" s="194">
        <v>6700</v>
      </c>
      <c r="E36" s="153">
        <f>ROUNDDOWN(C4*0.15,0)</f>
        <v>4</v>
      </c>
      <c r="F36" s="154" t="s">
        <v>75</v>
      </c>
    </row>
    <row r="37" spans="1:6" ht="13.5" customHeight="1">
      <c r="A37" s="769"/>
      <c r="B37" s="152" t="s">
        <v>76</v>
      </c>
      <c r="C37" s="212">
        <f t="shared" si="0"/>
        <v>106920</v>
      </c>
      <c r="D37" s="194">
        <v>3240</v>
      </c>
      <c r="E37" s="153">
        <f>C4</f>
        <v>33</v>
      </c>
      <c r="F37" s="154"/>
    </row>
    <row r="38" spans="1:6" ht="13.5" customHeight="1">
      <c r="A38" s="769"/>
      <c r="B38" s="152" t="s">
        <v>77</v>
      </c>
      <c r="C38" s="209">
        <f t="shared" si="0"/>
        <v>0</v>
      </c>
      <c r="D38" s="183">
        <v>372000</v>
      </c>
      <c r="E38" s="151">
        <v>0</v>
      </c>
      <c r="F38" s="154"/>
    </row>
    <row r="39" spans="1:6" ht="13.5" customHeight="1">
      <c r="A39" s="769"/>
      <c r="B39" s="178" t="s">
        <v>78</v>
      </c>
      <c r="C39" s="213">
        <f t="shared" si="0"/>
        <v>35640</v>
      </c>
      <c r="D39" s="195">
        <v>1080</v>
      </c>
      <c r="E39" s="176">
        <f>C4</f>
        <v>33</v>
      </c>
      <c r="F39" s="179"/>
    </row>
    <row r="40" spans="1:6" ht="13.5" customHeight="1">
      <c r="A40" s="770"/>
      <c r="B40" s="152" t="s">
        <v>627</v>
      </c>
      <c r="C40" s="212">
        <f t="shared" si="0"/>
        <v>400389</v>
      </c>
      <c r="D40" s="194">
        <v>12133</v>
      </c>
      <c r="E40" s="153">
        <f>C4</f>
        <v>33</v>
      </c>
      <c r="F40" s="154"/>
    </row>
    <row r="41" spans="1:6" ht="13.5" customHeight="1">
      <c r="A41" s="770"/>
      <c r="B41" s="463" t="s">
        <v>638</v>
      </c>
      <c r="C41" s="464">
        <f t="shared" si="0"/>
        <v>93357</v>
      </c>
      <c r="D41" s="465">
        <v>2829</v>
      </c>
      <c r="E41" s="466">
        <f>C4</f>
        <v>33</v>
      </c>
      <c r="F41" s="467"/>
    </row>
    <row r="42" spans="1:6" ht="13.5" customHeight="1">
      <c r="A42" s="771"/>
      <c r="B42" s="180" t="s">
        <v>79</v>
      </c>
      <c r="C42" s="214">
        <f>SUM(C23:C24,C27:C41)</f>
        <v>8224690</v>
      </c>
      <c r="D42" s="196"/>
      <c r="E42" s="181"/>
      <c r="F42" s="182"/>
    </row>
    <row r="43" spans="1:6" ht="13.5" customHeight="1">
      <c r="A43" s="772" t="s">
        <v>80</v>
      </c>
      <c r="B43" s="773"/>
      <c r="C43" s="215">
        <f>D43*E43</f>
        <v>2150028</v>
      </c>
      <c r="D43" s="197">
        <v>537507</v>
      </c>
      <c r="E43" s="156">
        <f>ROUNDDOWN(C4*0.15,0)</f>
        <v>4</v>
      </c>
      <c r="F43" s="157"/>
    </row>
    <row r="44" spans="1:6" ht="13.5" customHeight="1">
      <c r="A44" s="774" t="s">
        <v>81</v>
      </c>
      <c r="B44" s="775"/>
      <c r="C44" s="216">
        <f>C42-C43</f>
        <v>6074662</v>
      </c>
      <c r="D44" s="223"/>
      <c r="E44" s="158"/>
      <c r="F44" s="159"/>
    </row>
    <row r="45" spans="1:6" ht="13.5" customHeight="1">
      <c r="A45" s="786" t="s">
        <v>82</v>
      </c>
      <c r="B45" s="145" t="s">
        <v>83</v>
      </c>
      <c r="C45" s="217">
        <f>SUM(C46:C47)</f>
        <v>241650</v>
      </c>
      <c r="D45" s="198"/>
      <c r="E45" s="160"/>
      <c r="F45" s="161"/>
    </row>
    <row r="46" spans="1:6" ht="13.5" customHeight="1">
      <c r="A46" s="787"/>
      <c r="B46" s="275" t="s">
        <v>84</v>
      </c>
      <c r="C46" s="211">
        <f>D46*E46</f>
        <v>200880</v>
      </c>
      <c r="D46" s="183">
        <v>7440</v>
      </c>
      <c r="E46" s="149">
        <f>C10</f>
        <v>27</v>
      </c>
      <c r="F46" s="162" t="s">
        <v>85</v>
      </c>
    </row>
    <row r="47" spans="1:6" ht="13.5" customHeight="1">
      <c r="A47" s="787"/>
      <c r="B47" s="275" t="s">
        <v>86</v>
      </c>
      <c r="C47" s="211">
        <f>D47*E47</f>
        <v>40770</v>
      </c>
      <c r="D47" s="183">
        <v>1510</v>
      </c>
      <c r="E47" s="149">
        <f>C10</f>
        <v>27</v>
      </c>
      <c r="F47" s="162"/>
    </row>
    <row r="48" spans="1:6" ht="13.5" customHeight="1">
      <c r="A48" s="787"/>
      <c r="B48" s="152" t="s">
        <v>87</v>
      </c>
      <c r="C48" s="212">
        <f>D48*E48</f>
        <v>260205</v>
      </c>
      <c r="D48" s="194">
        <v>7885</v>
      </c>
      <c r="E48" s="153">
        <f>C4</f>
        <v>33</v>
      </c>
      <c r="F48" s="154"/>
    </row>
    <row r="49" spans="1:6" ht="13.5" customHeight="1">
      <c r="A49" s="787"/>
      <c r="B49" s="152" t="s">
        <v>88</v>
      </c>
      <c r="C49" s="209">
        <f>SUM(C50:C52)</f>
        <v>248424</v>
      </c>
      <c r="D49" s="183"/>
      <c r="E49" s="149"/>
      <c r="F49" s="789"/>
    </row>
    <row r="50" spans="1:6" ht="13.5" customHeight="1">
      <c r="A50" s="787"/>
      <c r="B50" s="275" t="s">
        <v>89</v>
      </c>
      <c r="C50" s="211">
        <f>D50*E50</f>
        <v>23661</v>
      </c>
      <c r="D50" s="183">
        <v>717</v>
      </c>
      <c r="E50" s="149">
        <f>C4</f>
        <v>33</v>
      </c>
      <c r="F50" s="789"/>
    </row>
    <row r="51" spans="1:6" ht="13.5" customHeight="1">
      <c r="A51" s="787"/>
      <c r="B51" s="275" t="s">
        <v>90</v>
      </c>
      <c r="C51" s="211">
        <f>D51*E51</f>
        <v>0</v>
      </c>
      <c r="D51" s="183"/>
      <c r="E51" s="149">
        <f>C4</f>
        <v>33</v>
      </c>
      <c r="F51" s="789"/>
    </row>
    <row r="52" spans="1:6" ht="13.5" customHeight="1">
      <c r="A52" s="788"/>
      <c r="B52" s="276" t="s">
        <v>91</v>
      </c>
      <c r="C52" s="218">
        <f>D52*E52</f>
        <v>224763</v>
      </c>
      <c r="D52" s="224">
        <v>6811</v>
      </c>
      <c r="E52" s="164">
        <f>C4</f>
        <v>33</v>
      </c>
      <c r="F52" s="790"/>
    </row>
    <row r="53" spans="1:6" ht="13.5" customHeight="1">
      <c r="A53" s="772" t="s">
        <v>92</v>
      </c>
      <c r="B53" s="773"/>
      <c r="C53" s="219">
        <f>SUM(C45,C48,C49)</f>
        <v>750279</v>
      </c>
      <c r="D53" s="225"/>
      <c r="E53" s="165"/>
      <c r="F53" s="166"/>
    </row>
    <row r="54" spans="1:6" ht="13.5" customHeight="1">
      <c r="A54" s="793" t="s">
        <v>93</v>
      </c>
      <c r="B54" s="145" t="s">
        <v>94</v>
      </c>
      <c r="C54" s="208">
        <f>D54*E54</f>
        <v>74250</v>
      </c>
      <c r="D54" s="191">
        <v>2475</v>
      </c>
      <c r="E54" s="146">
        <f>C9</f>
        <v>30</v>
      </c>
      <c r="F54" s="147"/>
    </row>
    <row r="55" spans="1:6" ht="13.5" customHeight="1">
      <c r="A55" s="794"/>
      <c r="B55" s="152" t="s">
        <v>95</v>
      </c>
      <c r="C55" s="209">
        <f>D55*E55</f>
        <v>299805</v>
      </c>
      <c r="D55" s="183">
        <v>9085</v>
      </c>
      <c r="E55" s="149">
        <f>C4</f>
        <v>33</v>
      </c>
      <c r="F55" s="154"/>
    </row>
    <row r="56" spans="1:6" ht="13.5" customHeight="1">
      <c r="A56" s="794"/>
      <c r="B56" s="152" t="s">
        <v>96</v>
      </c>
      <c r="C56" s="209">
        <f>D56*E56</f>
        <v>0</v>
      </c>
      <c r="D56" s="183">
        <v>0</v>
      </c>
      <c r="E56" s="149">
        <f>ROUNDDOWN(C4*0.15,0)</f>
        <v>4</v>
      </c>
      <c r="F56" s="154"/>
    </row>
    <row r="57" spans="1:6" ht="13.5" customHeight="1">
      <c r="A57" s="795"/>
      <c r="B57" s="163" t="s">
        <v>97</v>
      </c>
      <c r="C57" s="220">
        <v>0</v>
      </c>
      <c r="D57" s="224"/>
      <c r="E57" s="164"/>
      <c r="F57" s="155"/>
    </row>
    <row r="58" spans="1:6" ht="13.5" customHeight="1" thickBot="1">
      <c r="A58" s="796" t="s">
        <v>98</v>
      </c>
      <c r="B58" s="797"/>
      <c r="C58" s="221">
        <f>SUM(C54:C57)</f>
        <v>374055</v>
      </c>
      <c r="D58" s="225"/>
      <c r="E58" s="165"/>
      <c r="F58" s="159"/>
    </row>
    <row r="59" spans="1:6" ht="13.5" customHeight="1" thickBot="1">
      <c r="A59" s="798" t="s">
        <v>99</v>
      </c>
      <c r="B59" s="799"/>
      <c r="C59" s="791">
        <f>C58+C53+C44</f>
        <v>7198996</v>
      </c>
      <c r="D59" s="792"/>
      <c r="E59" s="167"/>
      <c r="F59" s="168"/>
    </row>
    <row r="60" spans="3:5" ht="6" customHeight="1" thickBot="1">
      <c r="C60" s="222"/>
      <c r="D60" s="199"/>
      <c r="E60" s="83"/>
    </row>
    <row r="61" spans="1:5" ht="13.5" customHeight="1" thickBot="1">
      <c r="A61" s="798" t="s">
        <v>100</v>
      </c>
      <c r="B61" s="799"/>
      <c r="C61" s="791">
        <f>C20-C59</f>
        <v>3183004</v>
      </c>
      <c r="D61" s="792"/>
      <c r="E61" s="83"/>
    </row>
  </sheetData>
  <sheetProtection/>
  <mergeCells count="308">
    <mergeCell ref="AL29:AM29"/>
    <mergeCell ref="H1:M2"/>
    <mergeCell ref="H16:M17"/>
    <mergeCell ref="AB29:AC29"/>
    <mergeCell ref="AD29:AE29"/>
    <mergeCell ref="AF29:AG29"/>
    <mergeCell ref="AH29:AI29"/>
    <mergeCell ref="AL28:AM28"/>
    <mergeCell ref="N29:O29"/>
    <mergeCell ref="P29:Q29"/>
    <mergeCell ref="AJ28:AK28"/>
    <mergeCell ref="R29:S29"/>
    <mergeCell ref="AJ29:AK29"/>
    <mergeCell ref="T29:U29"/>
    <mergeCell ref="V29:W29"/>
    <mergeCell ref="X29:Y29"/>
    <mergeCell ref="Z29:AA29"/>
    <mergeCell ref="X28:Y28"/>
    <mergeCell ref="AB27:AC27"/>
    <mergeCell ref="Z28:AA28"/>
    <mergeCell ref="AB28:AC28"/>
    <mergeCell ref="AD28:AE28"/>
    <mergeCell ref="AF28:AG28"/>
    <mergeCell ref="AH27:AI27"/>
    <mergeCell ref="AH28:AI28"/>
    <mergeCell ref="AJ27:AK27"/>
    <mergeCell ref="AL27:AM27"/>
    <mergeCell ref="AL26:AM26"/>
    <mergeCell ref="V27:W27"/>
    <mergeCell ref="AF27:AG27"/>
    <mergeCell ref="X27:Y27"/>
    <mergeCell ref="Z27:AA27"/>
    <mergeCell ref="Z26:AA26"/>
    <mergeCell ref="AB26:AC26"/>
    <mergeCell ref="AD26:AE26"/>
    <mergeCell ref="N27:O27"/>
    <mergeCell ref="P27:Q27"/>
    <mergeCell ref="R27:S27"/>
    <mergeCell ref="T27:U27"/>
    <mergeCell ref="AD27:AE27"/>
    <mergeCell ref="N28:O28"/>
    <mergeCell ref="P28:Q28"/>
    <mergeCell ref="R28:S28"/>
    <mergeCell ref="T28:U28"/>
    <mergeCell ref="V28:W28"/>
    <mergeCell ref="AF26:AG26"/>
    <mergeCell ref="AH26:AI26"/>
    <mergeCell ref="AJ26:AK26"/>
    <mergeCell ref="V24:W24"/>
    <mergeCell ref="X24:Y24"/>
    <mergeCell ref="Z24:AA24"/>
    <mergeCell ref="AB24:AC24"/>
    <mergeCell ref="AD24:AE24"/>
    <mergeCell ref="AF24:AG24"/>
    <mergeCell ref="AJ25:AK25"/>
    <mergeCell ref="AL25:AM25"/>
    <mergeCell ref="J26:K26"/>
    <mergeCell ref="L26:M26"/>
    <mergeCell ref="N26:O26"/>
    <mergeCell ref="P26:Q26"/>
    <mergeCell ref="R26:S26"/>
    <mergeCell ref="T26:U26"/>
    <mergeCell ref="V26:W26"/>
    <mergeCell ref="X26:Y26"/>
    <mergeCell ref="X25:Y25"/>
    <mergeCell ref="Z25:AA25"/>
    <mergeCell ref="AB25:AC25"/>
    <mergeCell ref="AD25:AE25"/>
    <mergeCell ref="AF25:AG25"/>
    <mergeCell ref="AH25:AI25"/>
    <mergeCell ref="AD23:AE23"/>
    <mergeCell ref="AF23:AG23"/>
    <mergeCell ref="AH24:AI24"/>
    <mergeCell ref="AH23:AI23"/>
    <mergeCell ref="AJ24:AK24"/>
    <mergeCell ref="AL23:AM23"/>
    <mergeCell ref="I24:I28"/>
    <mergeCell ref="J24:K24"/>
    <mergeCell ref="L24:M24"/>
    <mergeCell ref="N24:O24"/>
    <mergeCell ref="P24:Q24"/>
    <mergeCell ref="AL24:AM24"/>
    <mergeCell ref="J25:K25"/>
    <mergeCell ref="L25:M25"/>
    <mergeCell ref="N25:O25"/>
    <mergeCell ref="P25:Q25"/>
    <mergeCell ref="R25:S25"/>
    <mergeCell ref="T25:U25"/>
    <mergeCell ref="V25:W25"/>
    <mergeCell ref="R24:S24"/>
    <mergeCell ref="T24:U24"/>
    <mergeCell ref="T23:U23"/>
    <mergeCell ref="T22:U22"/>
    <mergeCell ref="V22:W22"/>
    <mergeCell ref="X22:Y22"/>
    <mergeCell ref="Z22:AA22"/>
    <mergeCell ref="AB22:AC22"/>
    <mergeCell ref="Z23:AA23"/>
    <mergeCell ref="AB23:AC23"/>
    <mergeCell ref="V23:W23"/>
    <mergeCell ref="X23:Y23"/>
    <mergeCell ref="AJ23:AK23"/>
    <mergeCell ref="AJ21:AK21"/>
    <mergeCell ref="AL21:AM21"/>
    <mergeCell ref="AH20:AI20"/>
    <mergeCell ref="AJ20:AK20"/>
    <mergeCell ref="AL20:AM20"/>
    <mergeCell ref="AL22:AM22"/>
    <mergeCell ref="AF22:AG22"/>
    <mergeCell ref="AH22:AI22"/>
    <mergeCell ref="AJ22:AK22"/>
    <mergeCell ref="AD21:AE21"/>
    <mergeCell ref="AF21:AG21"/>
    <mergeCell ref="AH21:AI21"/>
    <mergeCell ref="AD22:AE22"/>
    <mergeCell ref="X21:Y21"/>
    <mergeCell ref="Z21:AA21"/>
    <mergeCell ref="V20:W20"/>
    <mergeCell ref="X20:Y20"/>
    <mergeCell ref="Z20:AA20"/>
    <mergeCell ref="AB21:AC21"/>
    <mergeCell ref="V21:W21"/>
    <mergeCell ref="AB20:AC20"/>
    <mergeCell ref="P20:Q20"/>
    <mergeCell ref="R20:S20"/>
    <mergeCell ref="T20:U20"/>
    <mergeCell ref="AD20:AE20"/>
    <mergeCell ref="AF20:AG20"/>
    <mergeCell ref="Z19:AA19"/>
    <mergeCell ref="AD19:AE19"/>
    <mergeCell ref="AF19:AG19"/>
    <mergeCell ref="AH19:AI19"/>
    <mergeCell ref="AJ19:AK19"/>
    <mergeCell ref="AH12:AL12"/>
    <mergeCell ref="AJ18:AK18"/>
    <mergeCell ref="AL18:AM18"/>
    <mergeCell ref="AL19:AM19"/>
    <mergeCell ref="L28:M28"/>
    <mergeCell ref="L29:M29"/>
    <mergeCell ref="N18:O18"/>
    <mergeCell ref="AF18:AG18"/>
    <mergeCell ref="AH18:AI18"/>
    <mergeCell ref="J19:K19"/>
    <mergeCell ref="Z18:AA18"/>
    <mergeCell ref="AB18:AC18"/>
    <mergeCell ref="AD18:AE18"/>
    <mergeCell ref="AB19:AC19"/>
    <mergeCell ref="T9:U9"/>
    <mergeCell ref="N21:O21"/>
    <mergeCell ref="P21:Q21"/>
    <mergeCell ref="R21:S21"/>
    <mergeCell ref="T21:U21"/>
    <mergeCell ref="P18:Q18"/>
    <mergeCell ref="R18:S18"/>
    <mergeCell ref="N19:O19"/>
    <mergeCell ref="P19:Q19"/>
    <mergeCell ref="R19:S19"/>
    <mergeCell ref="X18:Y18"/>
    <mergeCell ref="V18:W18"/>
    <mergeCell ref="T19:U19"/>
    <mergeCell ref="V19:W19"/>
    <mergeCell ref="X19:Y19"/>
    <mergeCell ref="N22:O22"/>
    <mergeCell ref="P22:Q22"/>
    <mergeCell ref="R22:S22"/>
    <mergeCell ref="T18:U18"/>
    <mergeCell ref="N20:O20"/>
    <mergeCell ref="N9:O9"/>
    <mergeCell ref="P9:Q9"/>
    <mergeCell ref="R9:S9"/>
    <mergeCell ref="H18:H29"/>
    <mergeCell ref="I18:K18"/>
    <mergeCell ref="L18:M18"/>
    <mergeCell ref="J21:K21"/>
    <mergeCell ref="L21:M21"/>
    <mergeCell ref="L19:M19"/>
    <mergeCell ref="J28:K28"/>
    <mergeCell ref="I19:I23"/>
    <mergeCell ref="J27:K27"/>
    <mergeCell ref="L27:M27"/>
    <mergeCell ref="J23:K23"/>
    <mergeCell ref="L23:M23"/>
    <mergeCell ref="N23:O23"/>
    <mergeCell ref="J22:K22"/>
    <mergeCell ref="L22:M22"/>
    <mergeCell ref="J20:K20"/>
    <mergeCell ref="L20:M20"/>
    <mergeCell ref="P23:Q23"/>
    <mergeCell ref="R23:S23"/>
    <mergeCell ref="X9:Y9"/>
    <mergeCell ref="L8:M9"/>
    <mergeCell ref="I8:K8"/>
    <mergeCell ref="I9:K9"/>
    <mergeCell ref="V9:W9"/>
    <mergeCell ref="N8:O8"/>
    <mergeCell ref="P8:Q8"/>
    <mergeCell ref="R8:S8"/>
    <mergeCell ref="Z9:AA9"/>
    <mergeCell ref="AB9:AC9"/>
    <mergeCell ref="AD9:AE9"/>
    <mergeCell ref="X8:Y8"/>
    <mergeCell ref="Z8:AA8"/>
    <mergeCell ref="AB8:AC8"/>
    <mergeCell ref="AD8:AE8"/>
    <mergeCell ref="AH11:AM11"/>
    <mergeCell ref="AF9:AG9"/>
    <mergeCell ref="AH9:AI9"/>
    <mergeCell ref="AJ9:AK9"/>
    <mergeCell ref="AJ8:AK8"/>
    <mergeCell ref="AJ7:AK7"/>
    <mergeCell ref="AH8:AI8"/>
    <mergeCell ref="AF7:AG7"/>
    <mergeCell ref="AH7:AI7"/>
    <mergeCell ref="T8:U8"/>
    <mergeCell ref="V8:W8"/>
    <mergeCell ref="AF8:AG8"/>
    <mergeCell ref="AB7:AC7"/>
    <mergeCell ref="AD7:AE7"/>
    <mergeCell ref="P7:Q7"/>
    <mergeCell ref="R7:S7"/>
    <mergeCell ref="T7:U7"/>
    <mergeCell ref="V7:W7"/>
    <mergeCell ref="X7:Y7"/>
    <mergeCell ref="Z7:AA7"/>
    <mergeCell ref="AB6:AC6"/>
    <mergeCell ref="AD6:AE6"/>
    <mergeCell ref="AF6:AG6"/>
    <mergeCell ref="AH6:AI6"/>
    <mergeCell ref="AJ6:AK6"/>
    <mergeCell ref="AL6:AM6"/>
    <mergeCell ref="P6:Q6"/>
    <mergeCell ref="R6:S6"/>
    <mergeCell ref="T6:U6"/>
    <mergeCell ref="V6:W6"/>
    <mergeCell ref="X6:Y6"/>
    <mergeCell ref="Z6:AA6"/>
    <mergeCell ref="AB5:AC5"/>
    <mergeCell ref="AD5:AE5"/>
    <mergeCell ref="AF5:AG5"/>
    <mergeCell ref="AH5:AI5"/>
    <mergeCell ref="AJ5:AK5"/>
    <mergeCell ref="AL5:AM5"/>
    <mergeCell ref="P5:Q5"/>
    <mergeCell ref="R5:S5"/>
    <mergeCell ref="T5:U5"/>
    <mergeCell ref="V5:W5"/>
    <mergeCell ref="X5:Y5"/>
    <mergeCell ref="Z5:AA5"/>
    <mergeCell ref="V3:W3"/>
    <mergeCell ref="X3:Y3"/>
    <mergeCell ref="Z3:AA3"/>
    <mergeCell ref="AB3:AC3"/>
    <mergeCell ref="AD3:AE3"/>
    <mergeCell ref="AF3:AG3"/>
    <mergeCell ref="AJ3:AK3"/>
    <mergeCell ref="AJ4:AK4"/>
    <mergeCell ref="AL4:AM4"/>
    <mergeCell ref="P4:Q4"/>
    <mergeCell ref="R4:S4"/>
    <mergeCell ref="T4:U4"/>
    <mergeCell ref="V4:W4"/>
    <mergeCell ref="X4:Y4"/>
    <mergeCell ref="Z4:AA4"/>
    <mergeCell ref="AL3:AM3"/>
    <mergeCell ref="I3:K3"/>
    <mergeCell ref="L3:M3"/>
    <mergeCell ref="AH3:AI3"/>
    <mergeCell ref="AB4:AC4"/>
    <mergeCell ref="AD4:AE4"/>
    <mergeCell ref="AF4:AG4"/>
    <mergeCell ref="AH4:AI4"/>
    <mergeCell ref="P3:Q3"/>
    <mergeCell ref="R3:S3"/>
    <mergeCell ref="T3:U3"/>
    <mergeCell ref="I4:K4"/>
    <mergeCell ref="N4:O4"/>
    <mergeCell ref="I5:K5"/>
    <mergeCell ref="N5:O5"/>
    <mergeCell ref="I6:K6"/>
    <mergeCell ref="N6:O6"/>
    <mergeCell ref="N7:O7"/>
    <mergeCell ref="B1:F1"/>
    <mergeCell ref="C20:D20"/>
    <mergeCell ref="C59:D59"/>
    <mergeCell ref="D3:F3"/>
    <mergeCell ref="D4:F4"/>
    <mergeCell ref="D9:F9"/>
    <mergeCell ref="D10:F10"/>
    <mergeCell ref="D7:F7"/>
    <mergeCell ref="N3:O3"/>
    <mergeCell ref="A45:A52"/>
    <mergeCell ref="F49:F52"/>
    <mergeCell ref="C61:D61"/>
    <mergeCell ref="A53:B53"/>
    <mergeCell ref="A54:A57"/>
    <mergeCell ref="A58:B58"/>
    <mergeCell ref="A59:B59"/>
    <mergeCell ref="A61:B61"/>
    <mergeCell ref="I29:K29"/>
    <mergeCell ref="D5:F5"/>
    <mergeCell ref="D6:F6"/>
    <mergeCell ref="A23:A42"/>
    <mergeCell ref="A43:B43"/>
    <mergeCell ref="A44:B44"/>
    <mergeCell ref="H3:H9"/>
    <mergeCell ref="D8:F8"/>
    <mergeCell ref="A22:B22"/>
    <mergeCell ref="I7:K7"/>
  </mergeCells>
  <conditionalFormatting sqref="C51">
    <cfRule type="expression" priority="2" dxfId="2">
      <formula>$C$51=0</formula>
    </cfRule>
  </conditionalFormatting>
  <conditionalFormatting sqref="C26">
    <cfRule type="cellIs" priority="1" dxfId="3" operator="lessThan" stopIfTrue="1">
      <formula>1</formula>
    </cfRule>
  </conditionalFormatting>
  <printOptions/>
  <pageMargins left="0.68" right="0.4" top="0.3937007874015748" bottom="0.16" header="0.5118110236220472" footer="0.16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50"/>
  <sheetViews>
    <sheetView zoomScale="90" zoomScaleNormal="90" zoomScalePageLayoutView="0" workbookViewId="0" topLeftCell="A1">
      <selection activeCell="F34" sqref="F34"/>
    </sheetView>
  </sheetViews>
  <sheetFormatPr defaultColWidth="9.00390625" defaultRowHeight="15.75" customHeight="1"/>
  <cols>
    <col min="1" max="1" width="3.25390625" style="247" customWidth="1"/>
    <col min="2" max="2" width="20.75390625" style="247" bestFit="1" customWidth="1"/>
    <col min="3" max="3" width="11.00390625" style="247" bestFit="1" customWidth="1"/>
    <col min="4" max="4" width="8.50390625" style="247" bestFit="1" customWidth="1"/>
    <col min="5" max="5" width="12.125" style="247" bestFit="1" customWidth="1"/>
    <col min="6" max="6" width="35.125" style="247" customWidth="1"/>
    <col min="7" max="7" width="3.875" style="140" customWidth="1"/>
    <col min="8" max="8" width="2.625" style="1" bestFit="1" customWidth="1"/>
    <col min="9" max="9" width="6.25390625" style="1" customWidth="1"/>
    <col min="10" max="10" width="3.00390625" style="1" customWidth="1"/>
    <col min="11" max="11" width="2.625" style="1" customWidth="1"/>
    <col min="12" max="12" width="5.375" style="1" customWidth="1"/>
    <col min="13" max="13" width="3.125" style="1" bestFit="1" customWidth="1"/>
    <col min="14" max="37" width="2.625" style="1" customWidth="1"/>
    <col min="38" max="38" width="2.50390625" style="1" customWidth="1"/>
    <col min="39" max="39" width="6.75390625" style="1" customWidth="1"/>
    <col min="40" max="16384" width="9.00390625" style="247" customWidth="1"/>
  </cols>
  <sheetData>
    <row r="1" spans="1:13" ht="14.25">
      <c r="A1" s="141"/>
      <c r="B1" s="937" t="s">
        <v>101</v>
      </c>
      <c r="C1" s="937"/>
      <c r="D1" s="937"/>
      <c r="E1" s="937"/>
      <c r="F1" s="937"/>
      <c r="H1" s="928" t="s">
        <v>18</v>
      </c>
      <c r="I1" s="928"/>
      <c r="J1" s="928"/>
      <c r="K1" s="928"/>
      <c r="L1" s="928"/>
      <c r="M1" s="928"/>
    </row>
    <row r="2" spans="1:39" ht="15.75" customHeight="1">
      <c r="A2" s="141"/>
      <c r="B2" s="141"/>
      <c r="C2" s="141"/>
      <c r="D2" s="141"/>
      <c r="E2" s="141"/>
      <c r="F2" s="141"/>
      <c r="H2" s="944"/>
      <c r="I2" s="944"/>
      <c r="J2" s="944"/>
      <c r="K2" s="944"/>
      <c r="L2" s="944"/>
      <c r="M2" s="94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5.75" customHeight="1">
      <c r="A3" s="141"/>
      <c r="B3" s="186" t="s">
        <v>19</v>
      </c>
      <c r="C3" s="143" t="s">
        <v>20</v>
      </c>
      <c r="D3" s="783" t="s">
        <v>21</v>
      </c>
      <c r="E3" s="783"/>
      <c r="F3" s="938"/>
      <c r="H3" s="945" t="s">
        <v>0</v>
      </c>
      <c r="I3" s="784" t="s">
        <v>22</v>
      </c>
      <c r="J3" s="785"/>
      <c r="K3" s="922"/>
      <c r="L3" s="923" t="s">
        <v>102</v>
      </c>
      <c r="M3" s="924"/>
      <c r="N3" s="952" t="s">
        <v>579</v>
      </c>
      <c r="O3" s="953"/>
      <c r="P3" s="953" t="s">
        <v>580</v>
      </c>
      <c r="Q3" s="953"/>
      <c r="R3" s="953" t="s">
        <v>581</v>
      </c>
      <c r="S3" s="953"/>
      <c r="T3" s="953" t="s">
        <v>582</v>
      </c>
      <c r="U3" s="953"/>
      <c r="V3" s="953" t="s">
        <v>583</v>
      </c>
      <c r="W3" s="953"/>
      <c r="X3" s="953" t="s">
        <v>584</v>
      </c>
      <c r="Y3" s="953"/>
      <c r="Z3" s="953" t="s">
        <v>585</v>
      </c>
      <c r="AA3" s="953"/>
      <c r="AB3" s="953" t="s">
        <v>586</v>
      </c>
      <c r="AC3" s="953"/>
      <c r="AD3" s="953" t="s">
        <v>587</v>
      </c>
      <c r="AE3" s="953"/>
      <c r="AF3" s="953" t="s">
        <v>588</v>
      </c>
      <c r="AG3" s="953"/>
      <c r="AH3" s="953" t="s">
        <v>589</v>
      </c>
      <c r="AI3" s="953"/>
      <c r="AJ3" s="953" t="s">
        <v>590</v>
      </c>
      <c r="AK3" s="954"/>
      <c r="AL3" s="955" t="s">
        <v>25</v>
      </c>
      <c r="AM3" s="956"/>
    </row>
    <row r="4" spans="1:39" ht="15.75" customHeight="1">
      <c r="A4" s="141"/>
      <c r="B4" s="189" t="s">
        <v>102</v>
      </c>
      <c r="C4" s="289">
        <v>10</v>
      </c>
      <c r="D4" s="939"/>
      <c r="E4" s="939"/>
      <c r="F4" s="940"/>
      <c r="H4" s="946"/>
      <c r="I4" s="957" t="s">
        <v>103</v>
      </c>
      <c r="J4" s="821"/>
      <c r="K4" s="958"/>
      <c r="L4" s="263">
        <f>C4</f>
        <v>10</v>
      </c>
      <c r="M4" s="239" t="s">
        <v>5</v>
      </c>
      <c r="N4" s="959">
        <f>AL4/12</f>
        <v>22.25</v>
      </c>
      <c r="O4" s="960"/>
      <c r="P4" s="960">
        <f>AL4/12</f>
        <v>22.25</v>
      </c>
      <c r="Q4" s="960"/>
      <c r="R4" s="960">
        <f>AL4/12</f>
        <v>22.25</v>
      </c>
      <c r="S4" s="960"/>
      <c r="T4" s="960">
        <f>AL4/12</f>
        <v>22.25</v>
      </c>
      <c r="U4" s="960"/>
      <c r="V4" s="960">
        <f>AL4/12</f>
        <v>22.25</v>
      </c>
      <c r="W4" s="960"/>
      <c r="X4" s="960">
        <f>AL4/12</f>
        <v>22.25</v>
      </c>
      <c r="Y4" s="960"/>
      <c r="Z4" s="960">
        <f>AL4/12</f>
        <v>22.25</v>
      </c>
      <c r="AA4" s="960"/>
      <c r="AB4" s="960">
        <f>AL4/12</f>
        <v>22.25</v>
      </c>
      <c r="AC4" s="960"/>
      <c r="AD4" s="960">
        <f>AL4/12</f>
        <v>22.25</v>
      </c>
      <c r="AE4" s="960"/>
      <c r="AF4" s="960">
        <f>AL4/12</f>
        <v>22.25</v>
      </c>
      <c r="AG4" s="960"/>
      <c r="AH4" s="960">
        <f>AL4/12</f>
        <v>22.25</v>
      </c>
      <c r="AI4" s="960"/>
      <c r="AJ4" s="960">
        <f>AL4/12</f>
        <v>22.25</v>
      </c>
      <c r="AK4" s="965"/>
      <c r="AL4" s="966">
        <f>L4*26.7</f>
        <v>267</v>
      </c>
      <c r="AM4" s="967"/>
    </row>
    <row r="5" spans="1:39" ht="15.75" customHeight="1">
      <c r="A5" s="141"/>
      <c r="B5" s="171" t="s">
        <v>104</v>
      </c>
      <c r="C5" s="290">
        <f>ROUND(C4*365/570,0)</f>
        <v>6</v>
      </c>
      <c r="D5" s="763" t="s">
        <v>105</v>
      </c>
      <c r="E5" s="763"/>
      <c r="F5" s="764"/>
      <c r="H5" s="946"/>
      <c r="I5" s="961"/>
      <c r="J5" s="825"/>
      <c r="K5" s="962"/>
      <c r="L5" s="264"/>
      <c r="M5" s="240"/>
      <c r="N5" s="963"/>
      <c r="O5" s="964"/>
      <c r="P5" s="964"/>
      <c r="Q5" s="964"/>
      <c r="R5" s="964"/>
      <c r="S5" s="964"/>
      <c r="T5" s="964"/>
      <c r="U5" s="964"/>
      <c r="V5" s="964"/>
      <c r="W5" s="964"/>
      <c r="X5" s="964"/>
      <c r="Y5" s="964"/>
      <c r="Z5" s="964"/>
      <c r="AA5" s="964"/>
      <c r="AB5" s="964"/>
      <c r="AC5" s="964"/>
      <c r="AD5" s="964"/>
      <c r="AE5" s="964"/>
      <c r="AF5" s="964"/>
      <c r="AG5" s="964"/>
      <c r="AH5" s="964"/>
      <c r="AI5" s="964"/>
      <c r="AJ5" s="964"/>
      <c r="AK5" s="968"/>
      <c r="AL5" s="969"/>
      <c r="AM5" s="970"/>
    </row>
    <row r="6" spans="1:39" ht="15.75" customHeight="1">
      <c r="A6" s="141"/>
      <c r="B6" s="173" t="s">
        <v>106</v>
      </c>
      <c r="C6" s="291">
        <f>ROUND(C4*365/570*(1-D6),0)</f>
        <v>6</v>
      </c>
      <c r="D6" s="934">
        <v>0.02</v>
      </c>
      <c r="E6" s="934"/>
      <c r="F6" s="935"/>
      <c r="H6" s="946"/>
      <c r="I6" s="920"/>
      <c r="J6" s="829"/>
      <c r="K6" s="921"/>
      <c r="L6" s="265"/>
      <c r="M6" s="241"/>
      <c r="N6" s="974"/>
      <c r="O6" s="971"/>
      <c r="P6" s="971"/>
      <c r="Q6" s="971"/>
      <c r="R6" s="971"/>
      <c r="S6" s="971"/>
      <c r="T6" s="971"/>
      <c r="U6" s="971"/>
      <c r="V6" s="971"/>
      <c r="W6" s="971"/>
      <c r="X6" s="971"/>
      <c r="Y6" s="971"/>
      <c r="Z6" s="971"/>
      <c r="AA6" s="971"/>
      <c r="AB6" s="971"/>
      <c r="AC6" s="971"/>
      <c r="AD6" s="971"/>
      <c r="AE6" s="971"/>
      <c r="AF6" s="971"/>
      <c r="AG6" s="971"/>
      <c r="AH6" s="971"/>
      <c r="AI6" s="971"/>
      <c r="AJ6" s="971"/>
      <c r="AK6" s="972"/>
      <c r="AL6" s="976"/>
      <c r="AM6" s="977"/>
    </row>
    <row r="7" spans="1:39" ht="15.75" customHeight="1">
      <c r="A7" s="141"/>
      <c r="B7" s="188" t="s">
        <v>107</v>
      </c>
      <c r="C7" s="292">
        <f>SUM(C4)</f>
        <v>10</v>
      </c>
      <c r="D7" s="936"/>
      <c r="E7" s="936"/>
      <c r="F7" s="936"/>
      <c r="H7" s="946"/>
      <c r="I7" s="784" t="s">
        <v>25</v>
      </c>
      <c r="J7" s="785"/>
      <c r="K7" s="922"/>
      <c r="L7" s="266">
        <f>SUM(L4:L6)</f>
        <v>10</v>
      </c>
      <c r="M7" s="242" t="s">
        <v>5</v>
      </c>
      <c r="N7" s="978">
        <f>SUM(N4:O6)</f>
        <v>22.25</v>
      </c>
      <c r="O7" s="975"/>
      <c r="P7" s="975">
        <f>SUM(P4:Q6)</f>
        <v>22.25</v>
      </c>
      <c r="Q7" s="975"/>
      <c r="R7" s="975">
        <f>SUM(R4:S6)</f>
        <v>22.25</v>
      </c>
      <c r="S7" s="975"/>
      <c r="T7" s="975">
        <f>SUM(T4:U6)</f>
        <v>22.25</v>
      </c>
      <c r="U7" s="975"/>
      <c r="V7" s="975">
        <f>SUM(V4:W6)</f>
        <v>22.25</v>
      </c>
      <c r="W7" s="975"/>
      <c r="X7" s="975">
        <f>SUM(X4:Y6)</f>
        <v>22.25</v>
      </c>
      <c r="Y7" s="975"/>
      <c r="Z7" s="975">
        <f>SUM(Z4:AA6)</f>
        <v>22.25</v>
      </c>
      <c r="AA7" s="975"/>
      <c r="AB7" s="975">
        <f>SUM(AB4:AC6)</f>
        <v>22.25</v>
      </c>
      <c r="AC7" s="975"/>
      <c r="AD7" s="975">
        <f>SUM(AD4:AE6)</f>
        <v>22.25</v>
      </c>
      <c r="AE7" s="975"/>
      <c r="AF7" s="975">
        <f>SUM(AF4:AG6)</f>
        <v>22.25</v>
      </c>
      <c r="AG7" s="975"/>
      <c r="AH7" s="975">
        <f>SUM(AH4:AI6)</f>
        <v>22.25</v>
      </c>
      <c r="AI7" s="975"/>
      <c r="AJ7" s="975">
        <f>SUM(AJ4:AK6)</f>
        <v>22.25</v>
      </c>
      <c r="AK7" s="984"/>
      <c r="AL7" s="257" t="s">
        <v>576</v>
      </c>
      <c r="AM7" s="258">
        <f>SUM(AL4:AM6)</f>
        <v>267</v>
      </c>
    </row>
    <row r="8" spans="1:39" ht="15.75" customHeight="1">
      <c r="A8" s="141"/>
      <c r="B8" s="141"/>
      <c r="C8" s="141"/>
      <c r="D8" s="141"/>
      <c r="E8" s="141"/>
      <c r="F8" s="142" t="s">
        <v>38</v>
      </c>
      <c r="H8" s="946"/>
      <c r="I8" s="948" t="s">
        <v>32</v>
      </c>
      <c r="J8" s="857"/>
      <c r="K8" s="949"/>
      <c r="L8" s="243"/>
      <c r="M8" s="244"/>
      <c r="N8" s="979">
        <f>N23</f>
        <v>0</v>
      </c>
      <c r="O8" s="973"/>
      <c r="P8" s="973">
        <f>P23</f>
        <v>0</v>
      </c>
      <c r="Q8" s="973"/>
      <c r="R8" s="973">
        <f>R23</f>
        <v>0</v>
      </c>
      <c r="S8" s="973"/>
      <c r="T8" s="973">
        <f>T23</f>
        <v>0</v>
      </c>
      <c r="U8" s="973"/>
      <c r="V8" s="973">
        <f>V23</f>
        <v>0</v>
      </c>
      <c r="W8" s="973"/>
      <c r="X8" s="973">
        <f>X23</f>
        <v>0</v>
      </c>
      <c r="Y8" s="973"/>
      <c r="Z8" s="973">
        <f>Z23</f>
        <v>0</v>
      </c>
      <c r="AA8" s="973"/>
      <c r="AB8" s="973">
        <f>AB23</f>
        <v>0</v>
      </c>
      <c r="AC8" s="973"/>
      <c r="AD8" s="973">
        <f>AD23</f>
        <v>0</v>
      </c>
      <c r="AE8" s="973"/>
      <c r="AF8" s="973">
        <f>AF23</f>
        <v>0</v>
      </c>
      <c r="AG8" s="973"/>
      <c r="AH8" s="973">
        <f>AH23</f>
        <v>0</v>
      </c>
      <c r="AI8" s="973"/>
      <c r="AJ8" s="973">
        <f>AJ23</f>
        <v>0</v>
      </c>
      <c r="AK8" s="980"/>
      <c r="AL8" s="259" t="s">
        <v>577</v>
      </c>
      <c r="AM8" s="260">
        <f>SUM(N8:AK8)</f>
        <v>0</v>
      </c>
    </row>
    <row r="9" spans="1:39" ht="15.75" customHeight="1">
      <c r="A9" s="141"/>
      <c r="B9" s="186" t="s">
        <v>40</v>
      </c>
      <c r="C9" s="143" t="s">
        <v>41</v>
      </c>
      <c r="D9" s="143" t="s">
        <v>42</v>
      </c>
      <c r="E9" s="143" t="s">
        <v>43</v>
      </c>
      <c r="F9" s="144" t="s">
        <v>21</v>
      </c>
      <c r="H9" s="947"/>
      <c r="I9" s="950" t="s">
        <v>34</v>
      </c>
      <c r="J9" s="859"/>
      <c r="K9" s="951"/>
      <c r="L9" s="245"/>
      <c r="M9" s="246"/>
      <c r="N9" s="987">
        <f>N28</f>
        <v>0</v>
      </c>
      <c r="O9" s="985"/>
      <c r="P9" s="985">
        <f>P28</f>
        <v>0</v>
      </c>
      <c r="Q9" s="985"/>
      <c r="R9" s="985">
        <f>R28</f>
        <v>0</v>
      </c>
      <c r="S9" s="985"/>
      <c r="T9" s="985">
        <f>T28</f>
        <v>0</v>
      </c>
      <c r="U9" s="985"/>
      <c r="V9" s="985">
        <f>V28</f>
        <v>0</v>
      </c>
      <c r="W9" s="985"/>
      <c r="X9" s="985">
        <f>X28</f>
        <v>0</v>
      </c>
      <c r="Y9" s="985"/>
      <c r="Z9" s="985">
        <f>Z28</f>
        <v>0</v>
      </c>
      <c r="AA9" s="985"/>
      <c r="AB9" s="985">
        <f>AB28</f>
        <v>0</v>
      </c>
      <c r="AC9" s="985"/>
      <c r="AD9" s="985">
        <f>AD28</f>
        <v>0</v>
      </c>
      <c r="AE9" s="985"/>
      <c r="AF9" s="985">
        <f>AF28</f>
        <v>0</v>
      </c>
      <c r="AG9" s="985"/>
      <c r="AH9" s="985">
        <f>AH28</f>
        <v>0</v>
      </c>
      <c r="AI9" s="985"/>
      <c r="AJ9" s="985">
        <f>AJ28</f>
        <v>0</v>
      </c>
      <c r="AK9" s="986"/>
      <c r="AL9" s="261" t="s">
        <v>578</v>
      </c>
      <c r="AM9" s="262">
        <f>SUM(N9:AK9)</f>
        <v>0</v>
      </c>
    </row>
    <row r="10" spans="1:39" ht="15.75" customHeight="1">
      <c r="A10" s="141"/>
      <c r="B10" s="189" t="s">
        <v>44</v>
      </c>
      <c r="C10" s="250">
        <f>D10*E10</f>
        <v>4651020</v>
      </c>
      <c r="D10" s="251">
        <f>435*1650*1.08</f>
        <v>775170</v>
      </c>
      <c r="E10" s="250">
        <f>C6</f>
        <v>6</v>
      </c>
      <c r="F10" s="252" t="s">
        <v>574</v>
      </c>
      <c r="H10" s="3"/>
      <c r="I10" s="20"/>
      <c r="J10" s="20"/>
      <c r="K10" s="20"/>
      <c r="L10" s="4"/>
      <c r="M10" s="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9"/>
      <c r="AM10" s="19"/>
    </row>
    <row r="11" spans="1:39" ht="15.75" customHeight="1">
      <c r="A11" s="141"/>
      <c r="B11" s="171" t="s">
        <v>45</v>
      </c>
      <c r="C11" s="248">
        <f>SUM(C12:C14)</f>
        <v>195000</v>
      </c>
      <c r="D11" s="253"/>
      <c r="E11" s="248"/>
      <c r="F11" s="154"/>
      <c r="H11" s="3"/>
      <c r="I11" s="20"/>
      <c r="J11" s="20"/>
      <c r="K11" s="20"/>
      <c r="L11" s="4"/>
      <c r="M11" s="5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981" t="s">
        <v>37</v>
      </c>
      <c r="AI11" s="981"/>
      <c r="AJ11" s="981"/>
      <c r="AK11" s="981"/>
      <c r="AL11" s="981"/>
      <c r="AM11" s="981"/>
    </row>
    <row r="12" spans="1:39" ht="15.75" customHeight="1">
      <c r="A12" s="141"/>
      <c r="B12" s="171" t="s">
        <v>46</v>
      </c>
      <c r="C12" s="254"/>
      <c r="D12" s="253"/>
      <c r="E12" s="248"/>
      <c r="F12" s="154"/>
      <c r="H12" s="3"/>
      <c r="I12" s="5"/>
      <c r="J12" s="5"/>
      <c r="K12" s="5"/>
      <c r="L12" s="4"/>
      <c r="M12" s="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982" t="s">
        <v>108</v>
      </c>
      <c r="AI12" s="983"/>
      <c r="AJ12" s="983"/>
      <c r="AK12" s="983"/>
      <c r="AL12" s="983"/>
      <c r="AM12" s="238">
        <f>AM7-AM8-AM9</f>
        <v>267</v>
      </c>
    </row>
    <row r="13" spans="1:39" ht="15.75" customHeight="1">
      <c r="A13" s="141"/>
      <c r="B13" s="171" t="s">
        <v>109</v>
      </c>
      <c r="C13" s="184">
        <f>D13*E13</f>
        <v>195000</v>
      </c>
      <c r="D13" s="253">
        <v>195000</v>
      </c>
      <c r="E13" s="248">
        <f>ROUNDUP(C4*0.02,0)</f>
        <v>1</v>
      </c>
      <c r="F13" s="154"/>
      <c r="H13" s="3"/>
      <c r="I13" s="5"/>
      <c r="J13" s="5"/>
      <c r="K13" s="5"/>
      <c r="L13" s="6"/>
      <c r="M13" s="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7"/>
      <c r="AM13" s="7"/>
    </row>
    <row r="14" spans="1:39" ht="15.75" customHeight="1">
      <c r="A14" s="141"/>
      <c r="B14" s="173" t="s">
        <v>110</v>
      </c>
      <c r="C14" s="255"/>
      <c r="D14" s="249"/>
      <c r="E14" s="249"/>
      <c r="F14" s="155"/>
      <c r="H14" s="3"/>
      <c r="I14" s="5"/>
      <c r="J14" s="5"/>
      <c r="K14" s="5"/>
      <c r="L14" s="6"/>
      <c r="M14" s="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7"/>
      <c r="AM14" s="7"/>
    </row>
    <row r="15" spans="1:33" ht="15.75" customHeight="1">
      <c r="A15" s="141"/>
      <c r="B15" s="188" t="s">
        <v>55</v>
      </c>
      <c r="C15" s="914">
        <f>SUM(C10:C11)</f>
        <v>4846020</v>
      </c>
      <c r="D15" s="915"/>
      <c r="E15" s="168"/>
      <c r="F15" s="168"/>
      <c r="H15" s="3"/>
      <c r="I15" s="5"/>
      <c r="J15" s="5"/>
      <c r="K15" s="5"/>
      <c r="L15" s="6"/>
      <c r="M15" s="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5.75" customHeight="1">
      <c r="A16" s="141"/>
      <c r="B16" s="141"/>
      <c r="C16" s="141"/>
      <c r="D16" s="141"/>
      <c r="E16" s="141"/>
      <c r="F16" s="142" t="s">
        <v>38</v>
      </c>
      <c r="H16" s="928" t="s">
        <v>47</v>
      </c>
      <c r="I16" s="928"/>
      <c r="J16" s="928"/>
      <c r="K16" s="928"/>
      <c r="L16" s="928"/>
      <c r="M16" s="92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9" ht="15.75" customHeight="1">
      <c r="A17" s="141"/>
      <c r="B17" s="186" t="s">
        <v>56</v>
      </c>
      <c r="C17" s="143" t="s">
        <v>41</v>
      </c>
      <c r="D17" s="143" t="s">
        <v>42</v>
      </c>
      <c r="E17" s="143" t="s">
        <v>43</v>
      </c>
      <c r="F17" s="144" t="s">
        <v>21</v>
      </c>
      <c r="H17" s="929"/>
      <c r="I17" s="929"/>
      <c r="J17" s="929"/>
      <c r="K17" s="929"/>
      <c r="L17" s="929"/>
      <c r="M17" s="929"/>
      <c r="N17" s="237"/>
      <c r="O17" s="237"/>
      <c r="P17" s="237"/>
      <c r="Q17" s="237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5.75" customHeight="1">
      <c r="A18" s="941" t="s">
        <v>111</v>
      </c>
      <c r="B18" s="189" t="s">
        <v>77</v>
      </c>
      <c r="C18" s="271">
        <f>D18*E18</f>
        <v>2100000</v>
      </c>
      <c r="D18" s="251">
        <v>350000</v>
      </c>
      <c r="E18" s="250">
        <f>C5</f>
        <v>6</v>
      </c>
      <c r="F18" s="293"/>
      <c r="H18" s="945" t="s">
        <v>0</v>
      </c>
      <c r="I18" s="784" t="s">
        <v>50</v>
      </c>
      <c r="J18" s="785"/>
      <c r="K18" s="922"/>
      <c r="L18" s="923" t="s">
        <v>51</v>
      </c>
      <c r="M18" s="924"/>
      <c r="N18" s="997" t="s">
        <v>579</v>
      </c>
      <c r="O18" s="992"/>
      <c r="P18" s="992" t="s">
        <v>580</v>
      </c>
      <c r="Q18" s="992"/>
      <c r="R18" s="992" t="s">
        <v>581</v>
      </c>
      <c r="S18" s="992"/>
      <c r="T18" s="992" t="s">
        <v>582</v>
      </c>
      <c r="U18" s="992"/>
      <c r="V18" s="992" t="s">
        <v>583</v>
      </c>
      <c r="W18" s="992"/>
      <c r="X18" s="992" t="s">
        <v>584</v>
      </c>
      <c r="Y18" s="992"/>
      <c r="Z18" s="992" t="s">
        <v>585</v>
      </c>
      <c r="AA18" s="992"/>
      <c r="AB18" s="992" t="s">
        <v>586</v>
      </c>
      <c r="AC18" s="992"/>
      <c r="AD18" s="992" t="s">
        <v>587</v>
      </c>
      <c r="AE18" s="992"/>
      <c r="AF18" s="992" t="s">
        <v>588</v>
      </c>
      <c r="AG18" s="992"/>
      <c r="AH18" s="992" t="s">
        <v>589</v>
      </c>
      <c r="AI18" s="992"/>
      <c r="AJ18" s="992" t="s">
        <v>590</v>
      </c>
      <c r="AK18" s="993"/>
      <c r="AL18" s="955" t="s">
        <v>52</v>
      </c>
      <c r="AM18" s="956"/>
    </row>
    <row r="19" spans="1:39" ht="15.75" customHeight="1">
      <c r="A19" s="942"/>
      <c r="B19" s="171" t="s">
        <v>112</v>
      </c>
      <c r="C19" s="268">
        <f>D19*E19</f>
        <v>21000</v>
      </c>
      <c r="D19" s="267">
        <f>D18*0.01</f>
        <v>3500</v>
      </c>
      <c r="E19" s="268">
        <f>C5</f>
        <v>6</v>
      </c>
      <c r="F19" s="154" t="s">
        <v>113</v>
      </c>
      <c r="H19" s="946"/>
      <c r="I19" s="930" t="s">
        <v>575</v>
      </c>
      <c r="J19" s="932"/>
      <c r="K19" s="933"/>
      <c r="L19" s="994">
        <f>AL19/8</f>
        <v>0</v>
      </c>
      <c r="M19" s="995"/>
      <c r="N19" s="996">
        <f>AL19/12</f>
        <v>0</v>
      </c>
      <c r="O19" s="988"/>
      <c r="P19" s="988">
        <f>AL19/12</f>
        <v>0</v>
      </c>
      <c r="Q19" s="988"/>
      <c r="R19" s="988">
        <f>AL19/12</f>
        <v>0</v>
      </c>
      <c r="S19" s="988"/>
      <c r="T19" s="988">
        <f>AL19/12</f>
        <v>0</v>
      </c>
      <c r="U19" s="988"/>
      <c r="V19" s="988">
        <f>AL19/12</f>
        <v>0</v>
      </c>
      <c r="W19" s="988"/>
      <c r="X19" s="988">
        <f>AL19/12</f>
        <v>0</v>
      </c>
      <c r="Y19" s="988"/>
      <c r="Z19" s="988">
        <f>AL19/12</f>
        <v>0</v>
      </c>
      <c r="AA19" s="988"/>
      <c r="AB19" s="988">
        <f>AL19/12</f>
        <v>0</v>
      </c>
      <c r="AC19" s="988"/>
      <c r="AD19" s="988">
        <f>AL19/12</f>
        <v>0</v>
      </c>
      <c r="AE19" s="988"/>
      <c r="AF19" s="988">
        <f>AL19/12</f>
        <v>0</v>
      </c>
      <c r="AG19" s="988"/>
      <c r="AH19" s="988">
        <f>AL19/12</f>
        <v>0</v>
      </c>
      <c r="AI19" s="988"/>
      <c r="AJ19" s="988">
        <f>AL19/12</f>
        <v>0</v>
      </c>
      <c r="AK19" s="989"/>
      <c r="AL19" s="990"/>
      <c r="AM19" s="991"/>
    </row>
    <row r="20" spans="1:39" ht="15.75" customHeight="1">
      <c r="A20" s="942"/>
      <c r="B20" s="171" t="s">
        <v>60</v>
      </c>
      <c r="C20" s="248">
        <f>SUM(C21:C22)</f>
        <v>1145800</v>
      </c>
      <c r="D20" s="248"/>
      <c r="E20" s="248"/>
      <c r="F20" s="154"/>
      <c r="H20" s="946"/>
      <c r="I20" s="862"/>
      <c r="J20" s="864"/>
      <c r="K20" s="925"/>
      <c r="L20" s="926">
        <f>AL20/8</f>
        <v>0</v>
      </c>
      <c r="M20" s="927"/>
      <c r="N20" s="999">
        <f>AL20/12</f>
        <v>0</v>
      </c>
      <c r="O20" s="998"/>
      <c r="P20" s="998">
        <f>AL20/12</f>
        <v>0</v>
      </c>
      <c r="Q20" s="998"/>
      <c r="R20" s="998">
        <f>AL20/12</f>
        <v>0</v>
      </c>
      <c r="S20" s="998"/>
      <c r="T20" s="998">
        <f>AL20/12</f>
        <v>0</v>
      </c>
      <c r="U20" s="998"/>
      <c r="V20" s="998">
        <f>AL20/12</f>
        <v>0</v>
      </c>
      <c r="W20" s="998"/>
      <c r="X20" s="998">
        <f>AL20/12</f>
        <v>0</v>
      </c>
      <c r="Y20" s="998"/>
      <c r="Z20" s="998">
        <f>AL20/12</f>
        <v>0</v>
      </c>
      <c r="AA20" s="998"/>
      <c r="AB20" s="998">
        <f>AL20/12</f>
        <v>0</v>
      </c>
      <c r="AC20" s="998"/>
      <c r="AD20" s="998">
        <f>AL20/12</f>
        <v>0</v>
      </c>
      <c r="AE20" s="998"/>
      <c r="AF20" s="998">
        <f>AL20/12</f>
        <v>0</v>
      </c>
      <c r="AG20" s="998"/>
      <c r="AH20" s="998">
        <f>AL20/12</f>
        <v>0</v>
      </c>
      <c r="AI20" s="998"/>
      <c r="AJ20" s="998">
        <f>AL20/12</f>
        <v>0</v>
      </c>
      <c r="AK20" s="1002"/>
      <c r="AL20" s="1000"/>
      <c r="AM20" s="1001"/>
    </row>
    <row r="21" spans="1:39" ht="15.75" customHeight="1">
      <c r="A21" s="942"/>
      <c r="B21" s="171" t="s">
        <v>62</v>
      </c>
      <c r="C21" s="184">
        <f aca="true" t="shared" si="0" ref="C21:C33">D21*E21</f>
        <v>1077070</v>
      </c>
      <c r="D21" s="253">
        <v>107707</v>
      </c>
      <c r="E21" s="248">
        <f>C4</f>
        <v>10</v>
      </c>
      <c r="F21" s="154"/>
      <c r="H21" s="946"/>
      <c r="I21" s="862"/>
      <c r="J21" s="864"/>
      <c r="K21" s="925"/>
      <c r="L21" s="926">
        <f>AL21/8</f>
        <v>0</v>
      </c>
      <c r="M21" s="927"/>
      <c r="N21" s="999">
        <f>AL21/12</f>
        <v>0</v>
      </c>
      <c r="O21" s="998"/>
      <c r="P21" s="998">
        <f>AL21/12</f>
        <v>0</v>
      </c>
      <c r="Q21" s="998"/>
      <c r="R21" s="998">
        <f>AL21/12</f>
        <v>0</v>
      </c>
      <c r="S21" s="998"/>
      <c r="T21" s="998">
        <f>AL21/12</f>
        <v>0</v>
      </c>
      <c r="U21" s="998"/>
      <c r="V21" s="998">
        <f>AL21/12</f>
        <v>0</v>
      </c>
      <c r="W21" s="998"/>
      <c r="X21" s="998">
        <f>AL21/12</f>
        <v>0</v>
      </c>
      <c r="Y21" s="998"/>
      <c r="Z21" s="998">
        <f>AL21/12</f>
        <v>0</v>
      </c>
      <c r="AA21" s="998"/>
      <c r="AB21" s="998">
        <f>AL21/12</f>
        <v>0</v>
      </c>
      <c r="AC21" s="998"/>
      <c r="AD21" s="998">
        <f>AL21/12</f>
        <v>0</v>
      </c>
      <c r="AE21" s="998"/>
      <c r="AF21" s="998">
        <f>AL21/12</f>
        <v>0</v>
      </c>
      <c r="AG21" s="998"/>
      <c r="AH21" s="998">
        <f>AL21/12</f>
        <v>0</v>
      </c>
      <c r="AI21" s="998"/>
      <c r="AJ21" s="998">
        <f>AL21/12</f>
        <v>0</v>
      </c>
      <c r="AK21" s="1002"/>
      <c r="AL21" s="1000"/>
      <c r="AM21" s="1001"/>
    </row>
    <row r="22" spans="1:39" ht="15.75" customHeight="1">
      <c r="A22" s="942"/>
      <c r="B22" s="171" t="s">
        <v>63</v>
      </c>
      <c r="C22" s="184">
        <f t="shared" si="0"/>
        <v>68730</v>
      </c>
      <c r="D22" s="253">
        <v>6873</v>
      </c>
      <c r="E22" s="248">
        <f>C4</f>
        <v>10</v>
      </c>
      <c r="F22" s="154"/>
      <c r="H22" s="946"/>
      <c r="I22" s="862"/>
      <c r="J22" s="864"/>
      <c r="K22" s="925"/>
      <c r="L22" s="926">
        <f>AL22/8</f>
        <v>0</v>
      </c>
      <c r="M22" s="927"/>
      <c r="N22" s="999">
        <f>AL22/12</f>
        <v>0</v>
      </c>
      <c r="O22" s="998"/>
      <c r="P22" s="998">
        <f>AL22/12</f>
        <v>0</v>
      </c>
      <c r="Q22" s="998"/>
      <c r="R22" s="998">
        <f>AL22/12</f>
        <v>0</v>
      </c>
      <c r="S22" s="998"/>
      <c r="T22" s="998">
        <f>AL22/12</f>
        <v>0</v>
      </c>
      <c r="U22" s="998"/>
      <c r="V22" s="998">
        <f>AL22/12</f>
        <v>0</v>
      </c>
      <c r="W22" s="998"/>
      <c r="X22" s="998">
        <f>AL22/12</f>
        <v>0</v>
      </c>
      <c r="Y22" s="998"/>
      <c r="Z22" s="998">
        <f>AL22/12</f>
        <v>0</v>
      </c>
      <c r="AA22" s="998"/>
      <c r="AB22" s="998">
        <f>AL22/12</f>
        <v>0</v>
      </c>
      <c r="AC22" s="998"/>
      <c r="AD22" s="998">
        <f>AL22/12</f>
        <v>0</v>
      </c>
      <c r="AE22" s="998"/>
      <c r="AF22" s="998">
        <f>AL22/12</f>
        <v>0</v>
      </c>
      <c r="AG22" s="998"/>
      <c r="AH22" s="998">
        <f>AL22/12</f>
        <v>0</v>
      </c>
      <c r="AI22" s="998"/>
      <c r="AJ22" s="998">
        <f>AL22/12</f>
        <v>0</v>
      </c>
      <c r="AK22" s="1002"/>
      <c r="AL22" s="1000"/>
      <c r="AM22" s="1001"/>
    </row>
    <row r="23" spans="1:39" ht="15.75" customHeight="1">
      <c r="A23" s="942"/>
      <c r="B23" s="171" t="s">
        <v>114</v>
      </c>
      <c r="C23" s="268">
        <f t="shared" si="0"/>
        <v>78120</v>
      </c>
      <c r="D23" s="267">
        <v>7812</v>
      </c>
      <c r="E23" s="268">
        <f>C4</f>
        <v>10</v>
      </c>
      <c r="F23" s="154"/>
      <c r="H23" s="946"/>
      <c r="I23" s="931"/>
      <c r="J23" s="829" t="s">
        <v>59</v>
      </c>
      <c r="K23" s="921"/>
      <c r="L23" s="1006">
        <f>SUM(L19:M22)</f>
        <v>0</v>
      </c>
      <c r="M23" s="1007"/>
      <c r="N23" s="1008">
        <f>SUM(N19:O22)</f>
        <v>0</v>
      </c>
      <c r="O23" s="1005"/>
      <c r="P23" s="1005">
        <f>SUM(P19:Q22)</f>
        <v>0</v>
      </c>
      <c r="Q23" s="1005"/>
      <c r="R23" s="1005">
        <f>SUM(R19:S22)</f>
        <v>0</v>
      </c>
      <c r="S23" s="1005"/>
      <c r="T23" s="1005">
        <f>SUM(T19:U22)</f>
        <v>0</v>
      </c>
      <c r="U23" s="1005"/>
      <c r="V23" s="1005">
        <f>SUM(V19:W22)</f>
        <v>0</v>
      </c>
      <c r="W23" s="1005"/>
      <c r="X23" s="1005">
        <f>SUM(X19:Y22)</f>
        <v>0</v>
      </c>
      <c r="Y23" s="1005"/>
      <c r="Z23" s="1005">
        <f>SUM(Z19:AA22)</f>
        <v>0</v>
      </c>
      <c r="AA23" s="1005"/>
      <c r="AB23" s="1005">
        <f>SUM(AB19:AC22)</f>
        <v>0</v>
      </c>
      <c r="AC23" s="1005"/>
      <c r="AD23" s="1005">
        <f>SUM(AD19:AE22)</f>
        <v>0</v>
      </c>
      <c r="AE23" s="1005"/>
      <c r="AF23" s="1005">
        <f>SUM(AF19:AG22)</f>
        <v>0</v>
      </c>
      <c r="AG23" s="1005"/>
      <c r="AH23" s="1005">
        <f>SUM(AH19:AI22)</f>
        <v>0</v>
      </c>
      <c r="AI23" s="1005"/>
      <c r="AJ23" s="1005">
        <f>SUM(AJ19:AK22)</f>
        <v>0</v>
      </c>
      <c r="AK23" s="1013"/>
      <c r="AL23" s="1003">
        <f>SUM(AL19:AM22)</f>
        <v>0</v>
      </c>
      <c r="AM23" s="1004"/>
    </row>
    <row r="24" spans="1:39" ht="15.75" customHeight="1">
      <c r="A24" s="942"/>
      <c r="B24" s="171" t="s">
        <v>64</v>
      </c>
      <c r="C24" s="248">
        <f t="shared" si="0"/>
        <v>0</v>
      </c>
      <c r="D24" s="253">
        <v>1200</v>
      </c>
      <c r="E24" s="248">
        <f>AM9</f>
        <v>0</v>
      </c>
      <c r="F24" s="154" t="s">
        <v>115</v>
      </c>
      <c r="H24" s="946"/>
      <c r="I24" s="861" t="s">
        <v>61</v>
      </c>
      <c r="J24" s="885"/>
      <c r="K24" s="1014"/>
      <c r="L24" s="1015">
        <f>AL24/8</f>
        <v>0</v>
      </c>
      <c r="M24" s="1016"/>
      <c r="N24" s="1017">
        <f>AL24/12</f>
        <v>0</v>
      </c>
      <c r="O24" s="1018"/>
      <c r="P24" s="1018">
        <f>AL24/12</f>
        <v>0</v>
      </c>
      <c r="Q24" s="1018"/>
      <c r="R24" s="1018">
        <f>AL24/12</f>
        <v>0</v>
      </c>
      <c r="S24" s="1018"/>
      <c r="T24" s="1018">
        <f>AL24/12</f>
        <v>0</v>
      </c>
      <c r="U24" s="1018"/>
      <c r="V24" s="1018">
        <f>AL24/12</f>
        <v>0</v>
      </c>
      <c r="W24" s="1018"/>
      <c r="X24" s="1018">
        <f>AL24/12</f>
        <v>0</v>
      </c>
      <c r="Y24" s="1018"/>
      <c r="Z24" s="1018">
        <f>AL24/12</f>
        <v>0</v>
      </c>
      <c r="AA24" s="1018"/>
      <c r="AB24" s="1018">
        <f>AL24/12</f>
        <v>0</v>
      </c>
      <c r="AC24" s="1018"/>
      <c r="AD24" s="1018">
        <f>AL24/12</f>
        <v>0</v>
      </c>
      <c r="AE24" s="1018"/>
      <c r="AF24" s="1018">
        <f>AL24/12</f>
        <v>0</v>
      </c>
      <c r="AG24" s="1018"/>
      <c r="AH24" s="1018">
        <f>AL24/12</f>
        <v>0</v>
      </c>
      <c r="AI24" s="1018"/>
      <c r="AJ24" s="1018">
        <f>AL24/12</f>
        <v>0</v>
      </c>
      <c r="AK24" s="1021"/>
      <c r="AL24" s="1019"/>
      <c r="AM24" s="1020"/>
    </row>
    <row r="25" spans="1:39" ht="15.75" customHeight="1">
      <c r="A25" s="942"/>
      <c r="B25" s="171" t="s">
        <v>66</v>
      </c>
      <c r="C25" s="268">
        <f t="shared" si="0"/>
        <v>52500</v>
      </c>
      <c r="D25" s="267">
        <v>5250</v>
      </c>
      <c r="E25" s="268">
        <f>C4</f>
        <v>10</v>
      </c>
      <c r="F25" s="154"/>
      <c r="H25" s="946"/>
      <c r="I25" s="862"/>
      <c r="J25" s="864"/>
      <c r="K25" s="925"/>
      <c r="L25" s="926">
        <f>AL25/8</f>
        <v>0</v>
      </c>
      <c r="M25" s="927"/>
      <c r="N25" s="999">
        <f>AL25/12</f>
        <v>0</v>
      </c>
      <c r="O25" s="998"/>
      <c r="P25" s="998">
        <f>AL25/12</f>
        <v>0</v>
      </c>
      <c r="Q25" s="998"/>
      <c r="R25" s="998">
        <f>AL25/12</f>
        <v>0</v>
      </c>
      <c r="S25" s="998"/>
      <c r="T25" s="998">
        <f>AL25/12</f>
        <v>0</v>
      </c>
      <c r="U25" s="998"/>
      <c r="V25" s="998">
        <f>AL25/12</f>
        <v>0</v>
      </c>
      <c r="W25" s="998"/>
      <c r="X25" s="998">
        <f>AL25/12</f>
        <v>0</v>
      </c>
      <c r="Y25" s="998"/>
      <c r="Z25" s="998">
        <f>AL25/12</f>
        <v>0</v>
      </c>
      <c r="AA25" s="998"/>
      <c r="AB25" s="998">
        <f>AL25/12</f>
        <v>0</v>
      </c>
      <c r="AC25" s="998"/>
      <c r="AD25" s="998">
        <f>AL25/12</f>
        <v>0</v>
      </c>
      <c r="AE25" s="998"/>
      <c r="AF25" s="998">
        <f>AL25/12</f>
        <v>0</v>
      </c>
      <c r="AG25" s="998"/>
      <c r="AH25" s="998">
        <f>AL25/12</f>
        <v>0</v>
      </c>
      <c r="AI25" s="998"/>
      <c r="AJ25" s="998">
        <f>AL25/12</f>
        <v>0</v>
      </c>
      <c r="AK25" s="1002"/>
      <c r="AL25" s="1000"/>
      <c r="AM25" s="1001"/>
    </row>
    <row r="26" spans="1:39" ht="15.75" customHeight="1">
      <c r="A26" s="942"/>
      <c r="B26" s="171" t="s">
        <v>67</v>
      </c>
      <c r="C26" s="268">
        <f t="shared" si="0"/>
        <v>8410</v>
      </c>
      <c r="D26" s="267">
        <v>841</v>
      </c>
      <c r="E26" s="268">
        <f>C4</f>
        <v>10</v>
      </c>
      <c r="F26" s="154"/>
      <c r="H26" s="946"/>
      <c r="I26" s="862"/>
      <c r="J26" s="864"/>
      <c r="K26" s="925"/>
      <c r="L26" s="926">
        <f>AL26/8</f>
        <v>0</v>
      </c>
      <c r="M26" s="927"/>
      <c r="N26" s="999">
        <f>AL26/12</f>
        <v>0</v>
      </c>
      <c r="O26" s="998"/>
      <c r="P26" s="998">
        <f>AL26/12</f>
        <v>0</v>
      </c>
      <c r="Q26" s="998"/>
      <c r="R26" s="998">
        <f>AL26/12</f>
        <v>0</v>
      </c>
      <c r="S26" s="998"/>
      <c r="T26" s="998">
        <f>AL26/12</f>
        <v>0</v>
      </c>
      <c r="U26" s="998"/>
      <c r="V26" s="998">
        <f>AL26/12</f>
        <v>0</v>
      </c>
      <c r="W26" s="998"/>
      <c r="X26" s="998">
        <f>AL26/12</f>
        <v>0</v>
      </c>
      <c r="Y26" s="998"/>
      <c r="Z26" s="998">
        <f>AL26/12</f>
        <v>0</v>
      </c>
      <c r="AA26" s="998"/>
      <c r="AB26" s="998">
        <f>AL26/12</f>
        <v>0</v>
      </c>
      <c r="AC26" s="998"/>
      <c r="AD26" s="998">
        <f>AL26/12</f>
        <v>0</v>
      </c>
      <c r="AE26" s="998"/>
      <c r="AF26" s="998">
        <f>AL26/12</f>
        <v>0</v>
      </c>
      <c r="AG26" s="998"/>
      <c r="AH26" s="998">
        <f>AL26/12</f>
        <v>0</v>
      </c>
      <c r="AI26" s="998"/>
      <c r="AJ26" s="998">
        <f>AL26/12</f>
        <v>0</v>
      </c>
      <c r="AK26" s="1002"/>
      <c r="AL26" s="1000"/>
      <c r="AM26" s="1001"/>
    </row>
    <row r="27" spans="1:39" ht="15.75" customHeight="1">
      <c r="A27" s="942"/>
      <c r="B27" s="171" t="s">
        <v>68</v>
      </c>
      <c r="C27" s="268">
        <f t="shared" si="0"/>
        <v>27200</v>
      </c>
      <c r="D27" s="267">
        <v>2720</v>
      </c>
      <c r="E27" s="268">
        <f>C4</f>
        <v>10</v>
      </c>
      <c r="F27" s="154"/>
      <c r="H27" s="946"/>
      <c r="I27" s="862"/>
      <c r="J27" s="864"/>
      <c r="K27" s="925"/>
      <c r="L27" s="926">
        <f>AL27/8</f>
        <v>0</v>
      </c>
      <c r="M27" s="927"/>
      <c r="N27" s="999">
        <f>AL27/12</f>
        <v>0</v>
      </c>
      <c r="O27" s="998"/>
      <c r="P27" s="998">
        <f>AL27/12</f>
        <v>0</v>
      </c>
      <c r="Q27" s="998"/>
      <c r="R27" s="998">
        <f>AL27/12</f>
        <v>0</v>
      </c>
      <c r="S27" s="998"/>
      <c r="T27" s="998">
        <f>AL27/12</f>
        <v>0</v>
      </c>
      <c r="U27" s="998"/>
      <c r="V27" s="998">
        <f>AL27/12</f>
        <v>0</v>
      </c>
      <c r="W27" s="998"/>
      <c r="X27" s="998">
        <f>AL27/12</f>
        <v>0</v>
      </c>
      <c r="Y27" s="998"/>
      <c r="Z27" s="998">
        <f>AL27/12</f>
        <v>0</v>
      </c>
      <c r="AA27" s="998"/>
      <c r="AB27" s="998">
        <f>AL27/12</f>
        <v>0</v>
      </c>
      <c r="AC27" s="998"/>
      <c r="AD27" s="998">
        <f>AL27/12</f>
        <v>0</v>
      </c>
      <c r="AE27" s="998"/>
      <c r="AF27" s="998">
        <f>AL27/12</f>
        <v>0</v>
      </c>
      <c r="AG27" s="998"/>
      <c r="AH27" s="998">
        <f>AL27/12</f>
        <v>0</v>
      </c>
      <c r="AI27" s="998"/>
      <c r="AJ27" s="998">
        <f>AL27/12</f>
        <v>0</v>
      </c>
      <c r="AK27" s="1002"/>
      <c r="AL27" s="1000"/>
      <c r="AM27" s="1001"/>
    </row>
    <row r="28" spans="1:39" ht="15.75" customHeight="1">
      <c r="A28" s="942"/>
      <c r="B28" s="171" t="s">
        <v>69</v>
      </c>
      <c r="C28" s="248">
        <f t="shared" si="0"/>
        <v>223100</v>
      </c>
      <c r="D28" s="253">
        <v>22310</v>
      </c>
      <c r="E28" s="248">
        <f>C4</f>
        <v>10</v>
      </c>
      <c r="F28" s="154"/>
      <c r="H28" s="946"/>
      <c r="I28" s="863"/>
      <c r="J28" s="859" t="s">
        <v>59</v>
      </c>
      <c r="K28" s="951"/>
      <c r="L28" s="1009">
        <f>SUM(L24:M27)</f>
        <v>0</v>
      </c>
      <c r="M28" s="1010"/>
      <c r="N28" s="1011">
        <f>SUM(N24:O27)</f>
        <v>0</v>
      </c>
      <c r="O28" s="1012"/>
      <c r="P28" s="1012">
        <f>SUM(P24:Q27)</f>
        <v>0</v>
      </c>
      <c r="Q28" s="1012"/>
      <c r="R28" s="1012">
        <f>SUM(R24:S27)</f>
        <v>0</v>
      </c>
      <c r="S28" s="1012"/>
      <c r="T28" s="1012">
        <f>SUM(T24:U27)</f>
        <v>0</v>
      </c>
      <c r="U28" s="1012"/>
      <c r="V28" s="1012">
        <f>SUM(V24:W27)</f>
        <v>0</v>
      </c>
      <c r="W28" s="1012"/>
      <c r="X28" s="1012">
        <f>SUM(X24:Y27)</f>
        <v>0</v>
      </c>
      <c r="Y28" s="1012"/>
      <c r="Z28" s="1012">
        <f>SUM(Z24:AA27)</f>
        <v>0</v>
      </c>
      <c r="AA28" s="1012"/>
      <c r="AB28" s="1012">
        <f>SUM(AB24:AC27)</f>
        <v>0</v>
      </c>
      <c r="AC28" s="1012"/>
      <c r="AD28" s="1012">
        <f>SUM(AD24:AE27)</f>
        <v>0</v>
      </c>
      <c r="AE28" s="1012"/>
      <c r="AF28" s="1012">
        <f>SUM(AF24:AG27)</f>
        <v>0</v>
      </c>
      <c r="AG28" s="1012"/>
      <c r="AH28" s="1012">
        <f>SUM(AH24:AI27)</f>
        <v>0</v>
      </c>
      <c r="AI28" s="1012"/>
      <c r="AJ28" s="1012">
        <f>SUM(AJ24:AK27)</f>
        <v>0</v>
      </c>
      <c r="AK28" s="1027"/>
      <c r="AL28" s="1025">
        <f>SUM(AL24:AM27)</f>
        <v>0</v>
      </c>
      <c r="AM28" s="1026"/>
    </row>
    <row r="29" spans="1:39" ht="15.75" customHeight="1">
      <c r="A29" s="942"/>
      <c r="B29" s="171" t="s">
        <v>70</v>
      </c>
      <c r="C29" s="248">
        <f t="shared" si="0"/>
        <v>37130</v>
      </c>
      <c r="D29" s="253">
        <v>3713</v>
      </c>
      <c r="E29" s="248">
        <f>C4</f>
        <v>10</v>
      </c>
      <c r="F29" s="154"/>
      <c r="H29" s="947"/>
      <c r="I29" s="1029" t="s">
        <v>25</v>
      </c>
      <c r="J29" s="761"/>
      <c r="K29" s="1030"/>
      <c r="L29" s="1031">
        <f>SUM(L23,L28)</f>
        <v>0</v>
      </c>
      <c r="M29" s="1023"/>
      <c r="N29" s="1032">
        <f>N23+N28</f>
        <v>0</v>
      </c>
      <c r="O29" s="1024"/>
      <c r="P29" s="1024">
        <f>P23+P28</f>
        <v>0</v>
      </c>
      <c r="Q29" s="1024"/>
      <c r="R29" s="1024">
        <f>R23+R28</f>
        <v>0</v>
      </c>
      <c r="S29" s="1024"/>
      <c r="T29" s="1024">
        <f>T23+T28</f>
        <v>0</v>
      </c>
      <c r="U29" s="1024"/>
      <c r="V29" s="1024">
        <f>V23+V28</f>
        <v>0</v>
      </c>
      <c r="W29" s="1024"/>
      <c r="X29" s="1024">
        <f>X23+X28</f>
        <v>0</v>
      </c>
      <c r="Y29" s="1024"/>
      <c r="Z29" s="1024">
        <f>Z23+Z28</f>
        <v>0</v>
      </c>
      <c r="AA29" s="1024"/>
      <c r="AB29" s="1024">
        <f>AB23+AB28</f>
        <v>0</v>
      </c>
      <c r="AC29" s="1024"/>
      <c r="AD29" s="1024">
        <f>AD23+AD28</f>
        <v>0</v>
      </c>
      <c r="AE29" s="1024"/>
      <c r="AF29" s="1024">
        <f>AF23+AF28</f>
        <v>0</v>
      </c>
      <c r="AG29" s="1024"/>
      <c r="AH29" s="1024">
        <f>AH23+AH28</f>
        <v>0</v>
      </c>
      <c r="AI29" s="1024"/>
      <c r="AJ29" s="1024">
        <f>AJ23+AJ28</f>
        <v>0</v>
      </c>
      <c r="AK29" s="1028"/>
      <c r="AL29" s="1022">
        <f>SUM(N29:AK29)</f>
        <v>0</v>
      </c>
      <c r="AM29" s="1023"/>
    </row>
    <row r="30" spans="1:6" ht="15.75" customHeight="1">
      <c r="A30" s="942"/>
      <c r="B30" s="171" t="s">
        <v>72</v>
      </c>
      <c r="C30" s="268">
        <f t="shared" si="0"/>
        <v>5250</v>
      </c>
      <c r="D30" s="267">
        <v>525</v>
      </c>
      <c r="E30" s="268">
        <f>C4</f>
        <v>10</v>
      </c>
      <c r="F30" s="154"/>
    </row>
    <row r="31" spans="1:6" ht="15.75" customHeight="1">
      <c r="A31" s="942"/>
      <c r="B31" s="171" t="s">
        <v>78</v>
      </c>
      <c r="C31" s="248">
        <f t="shared" si="0"/>
        <v>10500</v>
      </c>
      <c r="D31" s="253">
        <v>1050</v>
      </c>
      <c r="E31" s="248">
        <f>C4</f>
        <v>10</v>
      </c>
      <c r="F31" s="154"/>
    </row>
    <row r="32" spans="1:6" ht="15.75" customHeight="1">
      <c r="A32" s="942"/>
      <c r="B32" s="171" t="s">
        <v>76</v>
      </c>
      <c r="C32" s="268">
        <f t="shared" si="0"/>
        <v>31500</v>
      </c>
      <c r="D32" s="267">
        <v>3150</v>
      </c>
      <c r="E32" s="268">
        <f>C4</f>
        <v>10</v>
      </c>
      <c r="F32" s="154"/>
    </row>
    <row r="33" spans="1:6" ht="15.75" customHeight="1">
      <c r="A33" s="943"/>
      <c r="B33" s="173" t="s">
        <v>71</v>
      </c>
      <c r="C33" s="269">
        <f t="shared" si="0"/>
        <v>5250</v>
      </c>
      <c r="D33" s="270">
        <v>525</v>
      </c>
      <c r="E33" s="269">
        <f>C4</f>
        <v>10</v>
      </c>
      <c r="F33" s="155"/>
    </row>
    <row r="34" spans="1:6" ht="15.75" customHeight="1">
      <c r="A34" s="796" t="s">
        <v>116</v>
      </c>
      <c r="B34" s="797"/>
      <c r="C34" s="279">
        <f>SUM(C18:C20,C23:C33)</f>
        <v>3745760</v>
      </c>
      <c r="D34" s="294"/>
      <c r="E34" s="295"/>
      <c r="F34" s="159"/>
    </row>
    <row r="35" spans="1:6" ht="15.75" customHeight="1">
      <c r="A35" s="907" t="s">
        <v>82</v>
      </c>
      <c r="B35" s="296" t="s">
        <v>83</v>
      </c>
      <c r="C35" s="278">
        <f>SUM(C36:C38)</f>
        <v>278705.9</v>
      </c>
      <c r="D35" s="278"/>
      <c r="E35" s="278"/>
      <c r="F35" s="161"/>
    </row>
    <row r="36" spans="1:6" ht="15.75" customHeight="1">
      <c r="A36" s="908"/>
      <c r="B36" s="297" t="s">
        <v>117</v>
      </c>
      <c r="C36" s="280">
        <v>110</v>
      </c>
      <c r="D36" s="267">
        <v>12000</v>
      </c>
      <c r="E36" s="268">
        <f>C6</f>
        <v>6</v>
      </c>
      <c r="F36" s="162"/>
    </row>
    <row r="37" spans="1:6" ht="15.75" customHeight="1">
      <c r="A37" s="908"/>
      <c r="B37" s="297" t="s">
        <v>118</v>
      </c>
      <c r="C37" s="280">
        <f>D37*E37</f>
        <v>69300</v>
      </c>
      <c r="D37" s="267">
        <v>11550</v>
      </c>
      <c r="E37" s="268">
        <f>C6</f>
        <v>6</v>
      </c>
      <c r="F37" s="162"/>
    </row>
    <row r="38" spans="1:6" ht="15.75" customHeight="1">
      <c r="A38" s="908"/>
      <c r="B38" s="297" t="s">
        <v>119</v>
      </c>
      <c r="C38" s="280">
        <f>D38*E38</f>
        <v>209295.90000000002</v>
      </c>
      <c r="D38" s="267">
        <f>D10*0.045</f>
        <v>34882.65</v>
      </c>
      <c r="E38" s="268">
        <f>C6</f>
        <v>6</v>
      </c>
      <c r="F38" s="162" t="s">
        <v>120</v>
      </c>
    </row>
    <row r="39" spans="1:6" ht="15.75" customHeight="1">
      <c r="A39" s="908"/>
      <c r="B39" s="297" t="s">
        <v>87</v>
      </c>
      <c r="C39" s="268">
        <f>D39*E39</f>
        <v>39000</v>
      </c>
      <c r="D39" s="267">
        <v>3900</v>
      </c>
      <c r="E39" s="268">
        <f>C4</f>
        <v>10</v>
      </c>
      <c r="F39" s="154"/>
    </row>
    <row r="40" spans="1:6" ht="15.75" customHeight="1">
      <c r="A40" s="908"/>
      <c r="B40" s="297" t="s">
        <v>88</v>
      </c>
      <c r="C40" s="248">
        <f>SUM(C41:C43)</f>
        <v>17170</v>
      </c>
      <c r="D40" s="253"/>
      <c r="E40" s="248"/>
      <c r="F40" s="789"/>
    </row>
    <row r="41" spans="1:6" ht="15.75" customHeight="1">
      <c r="A41" s="908"/>
      <c r="B41" s="297" t="s">
        <v>89</v>
      </c>
      <c r="C41" s="184">
        <f>D41*E41</f>
        <v>2870</v>
      </c>
      <c r="D41" s="253">
        <v>287</v>
      </c>
      <c r="E41" s="248">
        <f>C4</f>
        <v>10</v>
      </c>
      <c r="F41" s="789"/>
    </row>
    <row r="42" spans="1:6" ht="15.75" customHeight="1">
      <c r="A42" s="908"/>
      <c r="B42" s="297" t="s">
        <v>90</v>
      </c>
      <c r="C42" s="184">
        <f>D42*E42</f>
        <v>11740</v>
      </c>
      <c r="D42" s="253">
        <v>1174</v>
      </c>
      <c r="E42" s="248">
        <f>C4</f>
        <v>10</v>
      </c>
      <c r="F42" s="789"/>
    </row>
    <row r="43" spans="1:6" ht="15.75" customHeight="1">
      <c r="A43" s="909"/>
      <c r="B43" s="298" t="s">
        <v>91</v>
      </c>
      <c r="C43" s="185">
        <f>D43*E43</f>
        <v>2560</v>
      </c>
      <c r="D43" s="284">
        <v>256</v>
      </c>
      <c r="E43" s="249">
        <f>C4</f>
        <v>10</v>
      </c>
      <c r="F43" s="790"/>
    </row>
    <row r="44" spans="1:6" ht="15.75" customHeight="1">
      <c r="A44" s="774" t="s">
        <v>92</v>
      </c>
      <c r="B44" s="775"/>
      <c r="C44" s="190">
        <f>SUM(C35,C39:C40)</f>
        <v>334875.9</v>
      </c>
      <c r="D44" s="285"/>
      <c r="E44" s="286"/>
      <c r="F44" s="299"/>
    </row>
    <row r="45" spans="1:6" ht="15.75" customHeight="1">
      <c r="A45" s="918" t="s">
        <v>121</v>
      </c>
      <c r="B45" s="300" t="s">
        <v>122</v>
      </c>
      <c r="C45" s="283">
        <f>D45*E45</f>
        <v>73270</v>
      </c>
      <c r="D45" s="282">
        <v>7327</v>
      </c>
      <c r="E45" s="283">
        <f>C4</f>
        <v>10</v>
      </c>
      <c r="F45" s="293"/>
    </row>
    <row r="46" spans="1:6" ht="15.75" customHeight="1">
      <c r="A46" s="919"/>
      <c r="B46" s="298" t="s">
        <v>97</v>
      </c>
      <c r="C46" s="281">
        <v>0</v>
      </c>
      <c r="D46" s="249"/>
      <c r="E46" s="249"/>
      <c r="F46" s="155"/>
    </row>
    <row r="47" spans="1:6" ht="15.75" customHeight="1">
      <c r="A47" s="916" t="s">
        <v>98</v>
      </c>
      <c r="B47" s="917"/>
      <c r="C47" s="288">
        <f>SUM(C45:C46)</f>
        <v>73270</v>
      </c>
      <c r="D47" s="277"/>
      <c r="E47" s="277"/>
      <c r="F47" s="159"/>
    </row>
    <row r="48" spans="1:6" ht="15.75" customHeight="1">
      <c r="A48" s="782" t="s">
        <v>99</v>
      </c>
      <c r="B48" s="783"/>
      <c r="C48" s="914">
        <f>SUM(C47,C44,C34)</f>
        <v>4153905.9</v>
      </c>
      <c r="D48" s="915"/>
      <c r="E48" s="287"/>
      <c r="F48" s="168"/>
    </row>
    <row r="49" spans="1:6" ht="15.75" customHeight="1">
      <c r="A49" s="141"/>
      <c r="B49" s="141"/>
      <c r="C49" s="256"/>
      <c r="D49" s="256"/>
      <c r="E49" s="85"/>
      <c r="F49" s="141"/>
    </row>
    <row r="50" spans="1:6" ht="15.75" customHeight="1">
      <c r="A50" s="912" t="s">
        <v>100</v>
      </c>
      <c r="B50" s="913"/>
      <c r="C50" s="910">
        <f>C15-C48</f>
        <v>692114.1000000001</v>
      </c>
      <c r="D50" s="911"/>
      <c r="E50" s="85"/>
      <c r="F50" s="141"/>
    </row>
  </sheetData>
  <sheetProtection/>
  <mergeCells count="302">
    <mergeCell ref="I29:K29"/>
    <mergeCell ref="L29:M29"/>
    <mergeCell ref="N29:O29"/>
    <mergeCell ref="P29:Q29"/>
    <mergeCell ref="R29:S29"/>
    <mergeCell ref="T29:U29"/>
    <mergeCell ref="AJ28:AK28"/>
    <mergeCell ref="V29:W29"/>
    <mergeCell ref="X29:Y29"/>
    <mergeCell ref="Z29:AA29"/>
    <mergeCell ref="Z28:AA28"/>
    <mergeCell ref="AB28:AC28"/>
    <mergeCell ref="AD28:AE28"/>
    <mergeCell ref="AJ29:AK29"/>
    <mergeCell ref="V28:W28"/>
    <mergeCell ref="X28:Y28"/>
    <mergeCell ref="AL29:AM29"/>
    <mergeCell ref="AB29:AC29"/>
    <mergeCell ref="AD29:AE29"/>
    <mergeCell ref="AF29:AG29"/>
    <mergeCell ref="AH29:AI29"/>
    <mergeCell ref="AJ27:AK27"/>
    <mergeCell ref="AL27:AM27"/>
    <mergeCell ref="AL28:AM28"/>
    <mergeCell ref="AF28:AG28"/>
    <mergeCell ref="AH28:AI28"/>
    <mergeCell ref="V27:W27"/>
    <mergeCell ref="X27:Y27"/>
    <mergeCell ref="Z27:AA27"/>
    <mergeCell ref="AB27:AC27"/>
    <mergeCell ref="AD27:AE27"/>
    <mergeCell ref="T26:U26"/>
    <mergeCell ref="V26:W26"/>
    <mergeCell ref="X26:Y26"/>
    <mergeCell ref="AF27:AG27"/>
    <mergeCell ref="AH27:AI27"/>
    <mergeCell ref="AL25:AM25"/>
    <mergeCell ref="AB25:AC25"/>
    <mergeCell ref="AD25:AE25"/>
    <mergeCell ref="AF25:AG25"/>
    <mergeCell ref="AH25:AI25"/>
    <mergeCell ref="AL26:AM26"/>
    <mergeCell ref="AL24:AM24"/>
    <mergeCell ref="J25:K25"/>
    <mergeCell ref="L25:M25"/>
    <mergeCell ref="N25:O25"/>
    <mergeCell ref="P25:Q25"/>
    <mergeCell ref="R25:S25"/>
    <mergeCell ref="T25:U25"/>
    <mergeCell ref="V25:W25"/>
    <mergeCell ref="AH24:AI24"/>
    <mergeCell ref="AJ24:AK24"/>
    <mergeCell ref="X25:Y25"/>
    <mergeCell ref="Z25:AA25"/>
    <mergeCell ref="AF26:AG26"/>
    <mergeCell ref="AH26:AI26"/>
    <mergeCell ref="AJ25:AK25"/>
    <mergeCell ref="AJ26:AK26"/>
    <mergeCell ref="Z26:AA26"/>
    <mergeCell ref="AB26:AC26"/>
    <mergeCell ref="AD26:AE26"/>
    <mergeCell ref="T24:U24"/>
    <mergeCell ref="V24:W24"/>
    <mergeCell ref="X24:Y24"/>
    <mergeCell ref="AB23:AC23"/>
    <mergeCell ref="AD23:AE23"/>
    <mergeCell ref="AF23:AG23"/>
    <mergeCell ref="Z24:AA24"/>
    <mergeCell ref="AB24:AC24"/>
    <mergeCell ref="AD24:AE24"/>
    <mergeCell ref="AF24:AG24"/>
    <mergeCell ref="I24:I28"/>
    <mergeCell ref="J24:K24"/>
    <mergeCell ref="L24:M24"/>
    <mergeCell ref="N24:O24"/>
    <mergeCell ref="P24:Q24"/>
    <mergeCell ref="R24:S24"/>
    <mergeCell ref="J27:K27"/>
    <mergeCell ref="L27:M27"/>
    <mergeCell ref="N27:O27"/>
    <mergeCell ref="P27:Q27"/>
    <mergeCell ref="R27:S27"/>
    <mergeCell ref="J26:K26"/>
    <mergeCell ref="N26:O26"/>
    <mergeCell ref="P26:Q26"/>
    <mergeCell ref="R26:S26"/>
    <mergeCell ref="L28:M28"/>
    <mergeCell ref="L26:M26"/>
    <mergeCell ref="N28:O28"/>
    <mergeCell ref="P28:Q28"/>
    <mergeCell ref="R28:S28"/>
    <mergeCell ref="T28:U28"/>
    <mergeCell ref="T27:U27"/>
    <mergeCell ref="V23:W23"/>
    <mergeCell ref="X23:Y23"/>
    <mergeCell ref="J22:K22"/>
    <mergeCell ref="L22:M22"/>
    <mergeCell ref="N22:O22"/>
    <mergeCell ref="P22:Q22"/>
    <mergeCell ref="R22:S22"/>
    <mergeCell ref="V22:W22"/>
    <mergeCell ref="T22:U22"/>
    <mergeCell ref="X22:Y22"/>
    <mergeCell ref="J23:K23"/>
    <mergeCell ref="L23:M23"/>
    <mergeCell ref="N23:O23"/>
    <mergeCell ref="P23:Q23"/>
    <mergeCell ref="R23:S23"/>
    <mergeCell ref="T23:U23"/>
    <mergeCell ref="AL23:AM23"/>
    <mergeCell ref="Z23:AA23"/>
    <mergeCell ref="AH21:AI21"/>
    <mergeCell ref="AJ21:AK21"/>
    <mergeCell ref="AL21:AM21"/>
    <mergeCell ref="AH22:AI22"/>
    <mergeCell ref="AJ22:AK22"/>
    <mergeCell ref="AL22:AM22"/>
    <mergeCell ref="AJ23:AK23"/>
    <mergeCell ref="AH23:AI23"/>
    <mergeCell ref="AF21:AG21"/>
    <mergeCell ref="Z22:AA22"/>
    <mergeCell ref="AB22:AC22"/>
    <mergeCell ref="AD22:AE22"/>
    <mergeCell ref="AF22:AG22"/>
    <mergeCell ref="X21:Y21"/>
    <mergeCell ref="AH19:AI19"/>
    <mergeCell ref="Z19:AA19"/>
    <mergeCell ref="AB19:AC19"/>
    <mergeCell ref="V19:W19"/>
    <mergeCell ref="AL20:AM20"/>
    <mergeCell ref="Z21:AA21"/>
    <mergeCell ref="AB21:AC21"/>
    <mergeCell ref="AD21:AE21"/>
    <mergeCell ref="AH20:AI20"/>
    <mergeCell ref="AJ20:AK20"/>
    <mergeCell ref="N21:O21"/>
    <mergeCell ref="P21:Q21"/>
    <mergeCell ref="R21:S21"/>
    <mergeCell ref="T21:U21"/>
    <mergeCell ref="V21:W21"/>
    <mergeCell ref="Z20:AA20"/>
    <mergeCell ref="N20:O20"/>
    <mergeCell ref="P20:Q20"/>
    <mergeCell ref="R20:S20"/>
    <mergeCell ref="T20:U20"/>
    <mergeCell ref="V20:W20"/>
    <mergeCell ref="X20:Y20"/>
    <mergeCell ref="AB20:AC20"/>
    <mergeCell ref="AD20:AE20"/>
    <mergeCell ref="AF20:AG20"/>
    <mergeCell ref="X19:Y19"/>
    <mergeCell ref="AD19:AE19"/>
    <mergeCell ref="AF19:AG19"/>
    <mergeCell ref="L19:M19"/>
    <mergeCell ref="N19:O19"/>
    <mergeCell ref="P19:Q19"/>
    <mergeCell ref="V18:W18"/>
    <mergeCell ref="R19:S19"/>
    <mergeCell ref="T19:U19"/>
    <mergeCell ref="N18:O18"/>
    <mergeCell ref="P18:Q18"/>
    <mergeCell ref="R18:S18"/>
    <mergeCell ref="T18:U18"/>
    <mergeCell ref="AJ19:AK19"/>
    <mergeCell ref="AL19:AM19"/>
    <mergeCell ref="AJ18:AK18"/>
    <mergeCell ref="AL18:AM18"/>
    <mergeCell ref="X18:Y18"/>
    <mergeCell ref="Z18:AA18"/>
    <mergeCell ref="AB18:AC18"/>
    <mergeCell ref="AD18:AE18"/>
    <mergeCell ref="AF18:AG18"/>
    <mergeCell ref="AH18:AI18"/>
    <mergeCell ref="N9:O9"/>
    <mergeCell ref="P9:Q9"/>
    <mergeCell ref="R9:S9"/>
    <mergeCell ref="T9:U9"/>
    <mergeCell ref="V9:W9"/>
    <mergeCell ref="X9:Y9"/>
    <mergeCell ref="AH11:AM11"/>
    <mergeCell ref="AH12:AL12"/>
    <mergeCell ref="AH7:AI7"/>
    <mergeCell ref="AJ7:AK7"/>
    <mergeCell ref="Z9:AA9"/>
    <mergeCell ref="AB9:AC9"/>
    <mergeCell ref="AD9:AE9"/>
    <mergeCell ref="AF9:AG9"/>
    <mergeCell ref="AH9:AI9"/>
    <mergeCell ref="AJ9:AK9"/>
    <mergeCell ref="N8:O8"/>
    <mergeCell ref="P8:Q8"/>
    <mergeCell ref="R8:S8"/>
    <mergeCell ref="T8:U8"/>
    <mergeCell ref="V8:W8"/>
    <mergeCell ref="AJ8:AK8"/>
    <mergeCell ref="AL6:AM6"/>
    <mergeCell ref="I7:K7"/>
    <mergeCell ref="N7:O7"/>
    <mergeCell ref="P7:Q7"/>
    <mergeCell ref="R7:S7"/>
    <mergeCell ref="T7:U7"/>
    <mergeCell ref="V7:W7"/>
    <mergeCell ref="X7:Y7"/>
    <mergeCell ref="Z7:AA7"/>
    <mergeCell ref="Z6:AA6"/>
    <mergeCell ref="AB6:AC6"/>
    <mergeCell ref="AD6:AE6"/>
    <mergeCell ref="AF6:AG6"/>
    <mergeCell ref="AH6:AI6"/>
    <mergeCell ref="X8:Y8"/>
    <mergeCell ref="AD8:AE8"/>
    <mergeCell ref="AF8:AG8"/>
    <mergeCell ref="AH8:AI8"/>
    <mergeCell ref="AD7:AE7"/>
    <mergeCell ref="AF7:AG7"/>
    <mergeCell ref="AJ6:AK6"/>
    <mergeCell ref="Z8:AA8"/>
    <mergeCell ref="AB8:AC8"/>
    <mergeCell ref="N6:O6"/>
    <mergeCell ref="P6:Q6"/>
    <mergeCell ref="R6:S6"/>
    <mergeCell ref="T6:U6"/>
    <mergeCell ref="V6:W6"/>
    <mergeCell ref="X6:Y6"/>
    <mergeCell ref="AB7:AC7"/>
    <mergeCell ref="X5:Y5"/>
    <mergeCell ref="Z5:AA5"/>
    <mergeCell ref="AH4:AI4"/>
    <mergeCell ref="AJ4:AK4"/>
    <mergeCell ref="AL4:AM4"/>
    <mergeCell ref="AJ5:AK5"/>
    <mergeCell ref="AL5:AM5"/>
    <mergeCell ref="AD4:AE4"/>
    <mergeCell ref="AF4:AG4"/>
    <mergeCell ref="I5:K5"/>
    <mergeCell ref="N5:O5"/>
    <mergeCell ref="P5:Q5"/>
    <mergeCell ref="R5:S5"/>
    <mergeCell ref="T5:U5"/>
    <mergeCell ref="AH5:AI5"/>
    <mergeCell ref="AB5:AC5"/>
    <mergeCell ref="AD5:AE5"/>
    <mergeCell ref="AF5:AG5"/>
    <mergeCell ref="V5:W5"/>
    <mergeCell ref="AL3:AM3"/>
    <mergeCell ref="I4:K4"/>
    <mergeCell ref="N4:O4"/>
    <mergeCell ref="P4:Q4"/>
    <mergeCell ref="R4:S4"/>
    <mergeCell ref="T4:U4"/>
    <mergeCell ref="V4:W4"/>
    <mergeCell ref="X4:Y4"/>
    <mergeCell ref="Z4:AA4"/>
    <mergeCell ref="AB4:AC4"/>
    <mergeCell ref="Z3:AA3"/>
    <mergeCell ref="AB3:AC3"/>
    <mergeCell ref="AD3:AE3"/>
    <mergeCell ref="AF3:AG3"/>
    <mergeCell ref="AH3:AI3"/>
    <mergeCell ref="AJ3:AK3"/>
    <mergeCell ref="N3:O3"/>
    <mergeCell ref="P3:Q3"/>
    <mergeCell ref="R3:S3"/>
    <mergeCell ref="T3:U3"/>
    <mergeCell ref="V3:W3"/>
    <mergeCell ref="X3:Y3"/>
    <mergeCell ref="A34:B34"/>
    <mergeCell ref="A18:A33"/>
    <mergeCell ref="H1:M2"/>
    <mergeCell ref="H3:H9"/>
    <mergeCell ref="I3:K3"/>
    <mergeCell ref="L3:M3"/>
    <mergeCell ref="I8:K8"/>
    <mergeCell ref="I9:K9"/>
    <mergeCell ref="H18:H29"/>
    <mergeCell ref="J28:K28"/>
    <mergeCell ref="D6:F6"/>
    <mergeCell ref="D7:F7"/>
    <mergeCell ref="C15:D15"/>
    <mergeCell ref="B1:F1"/>
    <mergeCell ref="D3:F3"/>
    <mergeCell ref="D4:F4"/>
    <mergeCell ref="D5:F5"/>
    <mergeCell ref="I6:K6"/>
    <mergeCell ref="I18:K18"/>
    <mergeCell ref="L18:M18"/>
    <mergeCell ref="J21:K21"/>
    <mergeCell ref="L21:M21"/>
    <mergeCell ref="J20:K20"/>
    <mergeCell ref="L20:M20"/>
    <mergeCell ref="H16:M17"/>
    <mergeCell ref="I19:I23"/>
    <mergeCell ref="J19:K19"/>
    <mergeCell ref="A44:B44"/>
    <mergeCell ref="A35:A43"/>
    <mergeCell ref="F40:F43"/>
    <mergeCell ref="C50:D50"/>
    <mergeCell ref="A48:B48"/>
    <mergeCell ref="A50:B50"/>
    <mergeCell ref="C48:D48"/>
    <mergeCell ref="A47:B47"/>
    <mergeCell ref="A45:A46"/>
  </mergeCells>
  <printOptions/>
  <pageMargins left="0.55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0" zoomScaleNormal="80" zoomScalePageLayoutView="0" workbookViewId="0" topLeftCell="A1">
      <selection activeCell="D26" sqref="D26"/>
    </sheetView>
  </sheetViews>
  <sheetFormatPr defaultColWidth="9.00390625" defaultRowHeight="13.5"/>
  <cols>
    <col min="1" max="1" width="3.25390625" style="1033" customWidth="1"/>
    <col min="2" max="2" width="15.875" style="1033" customWidth="1"/>
    <col min="3" max="3" width="13.50390625" style="1033" customWidth="1"/>
    <col min="4" max="4" width="3.75390625" style="1033" customWidth="1"/>
    <col min="5" max="5" width="11.375" style="1033" customWidth="1"/>
    <col min="6" max="6" width="5.125" style="1033" customWidth="1"/>
    <col min="7" max="7" width="4.50390625" style="1033" customWidth="1"/>
    <col min="8" max="8" width="8.375" style="1033" customWidth="1"/>
    <col min="9" max="9" width="3.75390625" style="1033" customWidth="1"/>
    <col min="10" max="10" width="12.25390625" style="1033" customWidth="1"/>
    <col min="11" max="11" width="4.50390625" style="1033" customWidth="1"/>
    <col min="12" max="16384" width="9.00390625" style="1033" customWidth="1"/>
  </cols>
  <sheetData>
    <row r="1" ht="13.5">
      <c r="A1" s="1033" t="s">
        <v>654</v>
      </c>
    </row>
    <row r="2" spans="1:11" ht="23.25" customHeight="1">
      <c r="A2" s="1034" t="s">
        <v>655</v>
      </c>
      <c r="B2" s="1034"/>
      <c r="C2" s="1034"/>
      <c r="D2" s="1034"/>
      <c r="E2" s="1034"/>
      <c r="F2" s="1034"/>
      <c r="G2" s="1034"/>
      <c r="H2" s="1034"/>
      <c r="I2" s="1034"/>
      <c r="J2" s="1034"/>
      <c r="K2" s="1034"/>
    </row>
    <row r="3" spans="1:11" ht="6.75" customHeight="1">
      <c r="A3" s="1035"/>
      <c r="B3" s="1035"/>
      <c r="C3" s="1035"/>
      <c r="D3" s="1035"/>
      <c r="E3" s="1035"/>
      <c r="F3" s="1035"/>
      <c r="G3" s="1035"/>
      <c r="H3" s="1035"/>
      <c r="I3" s="1035"/>
      <c r="J3" s="1035"/>
      <c r="K3" s="1035"/>
    </row>
    <row r="4" spans="1:10" ht="14.25" customHeight="1">
      <c r="A4" s="1033" t="s">
        <v>656</v>
      </c>
      <c r="J4" s="1036"/>
    </row>
    <row r="5" ht="14.25" customHeight="1">
      <c r="A5" s="1037" t="s">
        <v>657</v>
      </c>
    </row>
    <row r="6" ht="27.75" customHeight="1">
      <c r="A6" s="1037"/>
    </row>
    <row r="7" ht="27.75" customHeight="1">
      <c r="A7" s="1037"/>
    </row>
    <row r="8" ht="27.75" customHeight="1"/>
    <row r="9" spans="1:5" ht="24.75" customHeight="1">
      <c r="A9" s="1037" t="s">
        <v>658</v>
      </c>
      <c r="E9" s="1038"/>
    </row>
    <row r="10" spans="5:11" ht="24.75" customHeight="1">
      <c r="E10" s="1038"/>
      <c r="K10" s="15"/>
    </row>
    <row r="11" spans="5:8" ht="24.75" customHeight="1">
      <c r="E11" s="1038"/>
      <c r="G11" s="1039"/>
      <c r="H11" s="1040"/>
    </row>
    <row r="12" ht="24.75" customHeight="1">
      <c r="E12" s="1038"/>
    </row>
    <row r="13" ht="12.75" customHeight="1">
      <c r="A13" s="1037"/>
    </row>
    <row r="14" ht="19.5" customHeight="1">
      <c r="A14" s="1037" t="s">
        <v>659</v>
      </c>
    </row>
    <row r="15" ht="19.5" customHeight="1">
      <c r="A15" s="1037" t="s">
        <v>660</v>
      </c>
    </row>
    <row r="16" spans="1:11" ht="22.5" customHeight="1">
      <c r="A16" s="1041" t="s">
        <v>661</v>
      </c>
      <c r="B16" s="1042"/>
      <c r="C16" s="1043" t="s">
        <v>340</v>
      </c>
      <c r="D16" s="1044"/>
      <c r="E16" s="1041" t="s">
        <v>662</v>
      </c>
      <c r="F16" s="1042"/>
      <c r="G16" s="1045"/>
      <c r="H16" s="1045"/>
      <c r="I16" s="1045"/>
      <c r="J16" s="1046" t="s">
        <v>663</v>
      </c>
      <c r="K16" s="1047"/>
    </row>
    <row r="17" spans="1:11" ht="20.25" customHeight="1">
      <c r="A17" s="1048" t="s">
        <v>664</v>
      </c>
      <c r="B17" s="1049"/>
      <c r="C17" s="1048" t="s">
        <v>665</v>
      </c>
      <c r="D17" s="1050"/>
      <c r="E17" s="1050"/>
      <c r="F17" s="1050"/>
      <c r="G17" s="1050"/>
      <c r="H17" s="1050"/>
      <c r="I17" s="1050"/>
      <c r="J17" s="1050"/>
      <c r="K17" s="1049"/>
    </row>
    <row r="18" spans="1:11" ht="20.25" customHeight="1">
      <c r="A18" s="1048" t="s">
        <v>666</v>
      </c>
      <c r="B18" s="1049"/>
      <c r="C18" s="1048" t="s">
        <v>667</v>
      </c>
      <c r="D18" s="1050"/>
      <c r="E18" s="1050"/>
      <c r="F18" s="1050"/>
      <c r="G18" s="1050"/>
      <c r="H18" s="1050"/>
      <c r="I18" s="1050"/>
      <c r="J18" s="1050"/>
      <c r="K18" s="1049"/>
    </row>
    <row r="19" spans="1:11" ht="20.25" customHeight="1">
      <c r="A19" s="1048" t="s">
        <v>668</v>
      </c>
      <c r="B19" s="1049"/>
      <c r="C19" s="1048" t="s">
        <v>669</v>
      </c>
      <c r="D19" s="1050"/>
      <c r="E19" s="1050"/>
      <c r="F19" s="1050"/>
      <c r="G19" s="1050"/>
      <c r="H19" s="1050"/>
      <c r="I19" s="1050"/>
      <c r="J19" s="1050"/>
      <c r="K19" s="1049"/>
    </row>
    <row r="20" spans="1:11" ht="20.25" customHeight="1">
      <c r="A20" s="1048"/>
      <c r="B20" s="1049"/>
      <c r="C20" s="1048" t="s">
        <v>670</v>
      </c>
      <c r="D20" s="1050"/>
      <c r="E20" s="1050"/>
      <c r="F20" s="1050"/>
      <c r="G20" s="1050"/>
      <c r="H20" s="1050"/>
      <c r="I20" s="1050"/>
      <c r="J20" s="1050"/>
      <c r="K20" s="1049"/>
    </row>
    <row r="21" spans="1:11" ht="20.25" customHeight="1">
      <c r="A21" s="1051"/>
      <c r="B21" s="1049"/>
      <c r="C21" s="1048" t="s">
        <v>671</v>
      </c>
      <c r="D21" s="1050"/>
      <c r="E21" s="1050"/>
      <c r="F21" s="1050"/>
      <c r="G21" s="1050"/>
      <c r="H21" s="1050"/>
      <c r="I21" s="1050"/>
      <c r="J21" s="1050"/>
      <c r="K21" s="1049"/>
    </row>
    <row r="22" spans="1:11" ht="20.25" customHeight="1">
      <c r="A22" s="358"/>
      <c r="B22" s="1052"/>
      <c r="C22" s="1053" t="s">
        <v>672</v>
      </c>
      <c r="D22" s="357"/>
      <c r="E22" s="357"/>
      <c r="F22" s="357"/>
      <c r="G22" s="357"/>
      <c r="H22" s="357"/>
      <c r="I22" s="357"/>
      <c r="J22" s="357"/>
      <c r="K22" s="1052"/>
    </row>
    <row r="23" spans="1:11" ht="29.25" customHeight="1">
      <c r="A23" s="1054" t="s">
        <v>673</v>
      </c>
      <c r="B23" s="1047"/>
      <c r="C23" s="1054"/>
      <c r="D23" s="1045"/>
      <c r="E23" s="1045"/>
      <c r="F23" s="1045"/>
      <c r="G23" s="1045"/>
      <c r="H23" s="1045"/>
      <c r="I23" s="1045"/>
      <c r="J23" s="1045"/>
      <c r="K23" s="1047"/>
    </row>
    <row r="24" spans="1:11" ht="18" customHeight="1">
      <c r="A24" s="1055" t="s">
        <v>674</v>
      </c>
      <c r="B24" s="1056"/>
      <c r="C24" s="1043" t="s">
        <v>675</v>
      </c>
      <c r="D24" s="1057"/>
      <c r="E24" s="1058"/>
      <c r="F24" s="1058"/>
      <c r="G24" s="1058"/>
      <c r="H24" s="1058"/>
      <c r="I24" s="1058"/>
      <c r="J24" s="1058"/>
      <c r="K24" s="1044"/>
    </row>
    <row r="25" spans="1:11" ht="16.5" customHeight="1">
      <c r="A25" s="1059"/>
      <c r="B25" s="1060"/>
      <c r="C25" s="1054"/>
      <c r="D25" s="1061"/>
      <c r="E25" s="1043" t="s">
        <v>676</v>
      </c>
      <c r="F25" s="1058"/>
      <c r="G25" s="1044"/>
      <c r="H25" s="1043" t="s">
        <v>677</v>
      </c>
      <c r="I25" s="1058"/>
      <c r="J25" s="1058"/>
      <c r="K25" s="1044"/>
    </row>
    <row r="26" spans="1:11" ht="22.5" customHeight="1">
      <c r="A26" s="1059"/>
      <c r="B26" s="1060"/>
      <c r="C26" s="1054" t="s">
        <v>678</v>
      </c>
      <c r="D26" s="1045"/>
      <c r="E26" s="1054"/>
      <c r="F26" s="1045"/>
      <c r="G26" s="1062" t="s">
        <v>593</v>
      </c>
      <c r="H26" s="1054"/>
      <c r="I26" s="1045"/>
      <c r="J26" s="1062"/>
      <c r="K26" s="1063" t="s">
        <v>593</v>
      </c>
    </row>
    <row r="27" spans="1:11" ht="22.5" customHeight="1">
      <c r="A27" s="1064"/>
      <c r="B27" s="1065"/>
      <c r="C27" s="358" t="s">
        <v>679</v>
      </c>
      <c r="D27" s="357"/>
      <c r="E27" s="358"/>
      <c r="F27" s="357"/>
      <c r="G27" s="468" t="s">
        <v>321</v>
      </c>
      <c r="H27" s="358"/>
      <c r="I27" s="357"/>
      <c r="J27" s="468"/>
      <c r="K27" s="1066" t="s">
        <v>321</v>
      </c>
    </row>
    <row r="28" spans="1:11" ht="22.5" customHeight="1">
      <c r="A28" s="510" t="s">
        <v>680</v>
      </c>
      <c r="B28" s="1067"/>
      <c r="C28" s="1043" t="s">
        <v>681</v>
      </c>
      <c r="D28" s="1058"/>
      <c r="E28" s="1058"/>
      <c r="F28" s="1044"/>
      <c r="G28" s="1043" t="s">
        <v>682</v>
      </c>
      <c r="H28" s="1058"/>
      <c r="I28" s="1058"/>
      <c r="J28" s="1058"/>
      <c r="K28" s="1044"/>
    </row>
    <row r="29" spans="1:11" ht="22.5" customHeight="1">
      <c r="A29" s="508"/>
      <c r="B29" s="1068" t="s">
        <v>683</v>
      </c>
      <c r="C29" s="1069" t="s">
        <v>684</v>
      </c>
      <c r="D29" s="1070"/>
      <c r="E29" s="1069" t="s">
        <v>685</v>
      </c>
      <c r="F29" s="1070"/>
      <c r="G29" s="1069" t="s">
        <v>684</v>
      </c>
      <c r="H29" s="1057"/>
      <c r="I29" s="1070"/>
      <c r="J29" s="1069" t="s">
        <v>685</v>
      </c>
      <c r="K29" s="1070"/>
    </row>
    <row r="30" spans="1:11" ht="22.5" customHeight="1">
      <c r="A30" s="508"/>
      <c r="B30" s="1071"/>
      <c r="C30" s="1072" t="s">
        <v>686</v>
      </c>
      <c r="D30" s="1073"/>
      <c r="E30" s="1072"/>
      <c r="F30" s="1073"/>
      <c r="G30" s="1072" t="s">
        <v>686</v>
      </c>
      <c r="H30" s="1074"/>
      <c r="I30" s="1073"/>
      <c r="J30" s="1072"/>
      <c r="K30" s="1073"/>
    </row>
    <row r="31" spans="1:11" ht="26.25" customHeight="1">
      <c r="A31" s="508"/>
      <c r="B31" s="1067"/>
      <c r="E31" s="1075"/>
      <c r="F31" s="1076"/>
      <c r="G31" s="1050"/>
      <c r="J31" s="1075"/>
      <c r="K31" s="1076"/>
    </row>
    <row r="32" spans="1:11" ht="26.25" customHeight="1">
      <c r="A32" s="508"/>
      <c r="B32" s="1077"/>
      <c r="C32" s="1045"/>
      <c r="D32" s="1045"/>
      <c r="E32" s="1054"/>
      <c r="F32" s="1047"/>
      <c r="G32" s="1045"/>
      <c r="H32" s="1045"/>
      <c r="I32" s="1045"/>
      <c r="J32" s="1054"/>
      <c r="K32" s="1047"/>
    </row>
    <row r="33" spans="1:11" ht="26.25" customHeight="1">
      <c r="A33" s="508"/>
      <c r="B33" s="1078"/>
      <c r="E33" s="1051"/>
      <c r="F33" s="1049"/>
      <c r="G33" s="1050"/>
      <c r="J33" s="1051"/>
      <c r="K33" s="1049"/>
    </row>
    <row r="34" spans="1:11" ht="26.25" customHeight="1">
      <c r="A34" s="508"/>
      <c r="B34" s="1077"/>
      <c r="C34" s="1045"/>
      <c r="D34" s="1045"/>
      <c r="E34" s="1054"/>
      <c r="F34" s="1047"/>
      <c r="G34" s="1045"/>
      <c r="H34" s="1045"/>
      <c r="I34" s="1045"/>
      <c r="J34" s="1054"/>
      <c r="K34" s="1047"/>
    </row>
    <row r="35" spans="1:11" ht="26.25" customHeight="1">
      <c r="A35" s="508"/>
      <c r="B35" s="1078"/>
      <c r="E35" s="1051"/>
      <c r="F35" s="1049"/>
      <c r="G35" s="1050"/>
      <c r="J35" s="1051"/>
      <c r="K35" s="1049"/>
    </row>
    <row r="36" spans="1:11" ht="26.25" customHeight="1">
      <c r="A36" s="509"/>
      <c r="B36" s="1079" t="s">
        <v>25</v>
      </c>
      <c r="C36" s="1045"/>
      <c r="D36" s="1045"/>
      <c r="E36" s="1054"/>
      <c r="F36" s="1047"/>
      <c r="G36" s="1045"/>
      <c r="H36" s="1045"/>
      <c r="I36" s="1045"/>
      <c r="J36" s="1054"/>
      <c r="K36" s="1047"/>
    </row>
  </sheetData>
  <sheetProtection/>
  <mergeCells count="17">
    <mergeCell ref="A28:A36"/>
    <mergeCell ref="C28:F28"/>
    <mergeCell ref="G28:K28"/>
    <mergeCell ref="C29:D29"/>
    <mergeCell ref="E29:F30"/>
    <mergeCell ref="G29:I29"/>
    <mergeCell ref="J29:K30"/>
    <mergeCell ref="C30:D30"/>
    <mergeCell ref="G30:I30"/>
    <mergeCell ref="A2:K2"/>
    <mergeCell ref="A16:B16"/>
    <mergeCell ref="C16:D16"/>
    <mergeCell ref="E16:F16"/>
    <mergeCell ref="A24:B27"/>
    <mergeCell ref="C24:K24"/>
    <mergeCell ref="E25:G25"/>
    <mergeCell ref="H25:K2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6">
      <selection activeCell="F34" sqref="F34"/>
    </sheetView>
  </sheetViews>
  <sheetFormatPr defaultColWidth="9.00390625" defaultRowHeight="13.5"/>
  <cols>
    <col min="1" max="1" width="11.125" style="1033" customWidth="1"/>
    <col min="2" max="7" width="11.75390625" style="1033" customWidth="1"/>
    <col min="8" max="8" width="9.125" style="1033" customWidth="1"/>
    <col min="9" max="9" width="3.75390625" style="1033" customWidth="1"/>
    <col min="10" max="10" width="12.25390625" style="1033" customWidth="1"/>
    <col min="11" max="11" width="4.50390625" style="1033" customWidth="1"/>
    <col min="12" max="16384" width="9.00390625" style="1033" customWidth="1"/>
  </cols>
  <sheetData>
    <row r="1" ht="13.5">
      <c r="A1" s="1033" t="s">
        <v>687</v>
      </c>
    </row>
    <row r="2" spans="1:7" ht="22.5" customHeight="1">
      <c r="A2" s="1054" t="s">
        <v>688</v>
      </c>
      <c r="B2" s="1047"/>
      <c r="C2" s="1054"/>
      <c r="D2" s="1045"/>
      <c r="E2" s="1045"/>
      <c r="F2" s="1045"/>
      <c r="G2" s="1063" t="s">
        <v>689</v>
      </c>
    </row>
    <row r="3" spans="1:7" ht="22.5" customHeight="1">
      <c r="A3" s="1054" t="s">
        <v>690</v>
      </c>
      <c r="B3" s="1047"/>
      <c r="C3" s="1054"/>
      <c r="D3" s="1045"/>
      <c r="E3" s="1045"/>
      <c r="F3" s="1045"/>
      <c r="G3" s="1047"/>
    </row>
    <row r="4" spans="1:7" ht="18.75" customHeight="1">
      <c r="A4" s="1080" t="s">
        <v>691</v>
      </c>
      <c r="B4" s="1080"/>
      <c r="C4" s="1077"/>
      <c r="D4" s="1054" t="s">
        <v>692</v>
      </c>
      <c r="E4" s="1045"/>
      <c r="F4" s="1045"/>
      <c r="G4" s="1077"/>
    </row>
    <row r="5" spans="1:7" ht="13.5" customHeight="1">
      <c r="A5" s="1069" t="s">
        <v>693</v>
      </c>
      <c r="B5" s="1070"/>
      <c r="C5" s="1081" t="s">
        <v>694</v>
      </c>
      <c r="D5" s="1082" t="s">
        <v>322</v>
      </c>
      <c r="E5" s="1082" t="s">
        <v>695</v>
      </c>
      <c r="F5" s="1043" t="s">
        <v>696</v>
      </c>
      <c r="G5" s="1044"/>
    </row>
    <row r="6" spans="1:7" ht="13.5" customHeight="1">
      <c r="A6" s="1083"/>
      <c r="B6" s="1084"/>
      <c r="C6" s="1085"/>
      <c r="D6" s="1086"/>
      <c r="E6" s="1086"/>
      <c r="F6" s="1079" t="s">
        <v>697</v>
      </c>
      <c r="G6" s="1079" t="s">
        <v>384</v>
      </c>
    </row>
    <row r="7" spans="1:7" ht="21" customHeight="1">
      <c r="A7" s="1080"/>
      <c r="B7" s="1080"/>
      <c r="C7" s="1087"/>
      <c r="D7" s="1088"/>
      <c r="E7" s="1082"/>
      <c r="F7" s="1082"/>
      <c r="G7" s="1082"/>
    </row>
    <row r="8" spans="1:7" ht="21" customHeight="1">
      <c r="A8" s="1080"/>
      <c r="B8" s="1080"/>
      <c r="C8" s="1089"/>
      <c r="D8" s="1077"/>
      <c r="E8" s="1090"/>
      <c r="F8" s="1090"/>
      <c r="G8" s="1090"/>
    </row>
    <row r="9" spans="1:7" ht="21" customHeight="1">
      <c r="A9" s="1080"/>
      <c r="B9" s="1080"/>
      <c r="C9" s="1077"/>
      <c r="D9" s="1077"/>
      <c r="E9" s="1086"/>
      <c r="F9" s="1086"/>
      <c r="G9" s="1086"/>
    </row>
    <row r="10" spans="1:7" ht="33.75" customHeight="1">
      <c r="A10" s="1079" t="s">
        <v>698</v>
      </c>
      <c r="B10" s="1054"/>
      <c r="C10" s="1045"/>
      <c r="D10" s="1045"/>
      <c r="E10" s="1045"/>
      <c r="F10" s="1045"/>
      <c r="G10" s="1047"/>
    </row>
    <row r="11" spans="1:7" ht="20.25" customHeight="1">
      <c r="A11" s="1054" t="s">
        <v>699</v>
      </c>
      <c r="B11" s="1045"/>
      <c r="C11" s="1045"/>
      <c r="D11" s="1045"/>
      <c r="E11" s="1091"/>
      <c r="F11" s="1092" t="s">
        <v>700</v>
      </c>
      <c r="G11" s="1093" t="s">
        <v>2</v>
      </c>
    </row>
    <row r="12" ht="5.25" customHeight="1"/>
    <row r="13" ht="13.5">
      <c r="A13" s="1033" t="s">
        <v>701</v>
      </c>
    </row>
    <row r="14" spans="1:7" ht="27.75" customHeight="1">
      <c r="A14" s="1094" t="s">
        <v>324</v>
      </c>
      <c r="B14" s="1094"/>
      <c r="C14" s="1094"/>
      <c r="D14" s="1079" t="s">
        <v>702</v>
      </c>
      <c r="E14" s="1095" t="s">
        <v>132</v>
      </c>
      <c r="F14" s="1079" t="s">
        <v>703</v>
      </c>
      <c r="G14" s="1095" t="s">
        <v>704</v>
      </c>
    </row>
    <row r="15" spans="1:7" ht="23.25" customHeight="1">
      <c r="A15" s="1080" t="s">
        <v>705</v>
      </c>
      <c r="B15" s="1080"/>
      <c r="C15" s="1080"/>
      <c r="D15" s="1077"/>
      <c r="E15" s="1077"/>
      <c r="F15" s="1079" t="s">
        <v>706</v>
      </c>
      <c r="G15" s="1079" t="s">
        <v>707</v>
      </c>
    </row>
    <row r="16" spans="1:7" ht="23.25" customHeight="1">
      <c r="A16" s="1080" t="s">
        <v>705</v>
      </c>
      <c r="B16" s="1080"/>
      <c r="C16" s="1080"/>
      <c r="D16" s="1077"/>
      <c r="E16" s="1077"/>
      <c r="F16" s="1079" t="s">
        <v>706</v>
      </c>
      <c r="G16" s="1079" t="s">
        <v>707</v>
      </c>
    </row>
    <row r="17" spans="1:7" ht="23.25" customHeight="1">
      <c r="A17" s="1080" t="s">
        <v>705</v>
      </c>
      <c r="B17" s="1080"/>
      <c r="C17" s="1080"/>
      <c r="D17" s="1077"/>
      <c r="E17" s="1077"/>
      <c r="F17" s="1079" t="s">
        <v>706</v>
      </c>
      <c r="G17" s="1079" t="s">
        <v>707</v>
      </c>
    </row>
    <row r="18" spans="1:7" ht="23.25" customHeight="1">
      <c r="A18" s="1080" t="s">
        <v>705</v>
      </c>
      <c r="B18" s="1080"/>
      <c r="C18" s="1080"/>
      <c r="D18" s="1077"/>
      <c r="E18" s="1077"/>
      <c r="F18" s="1079" t="s">
        <v>706</v>
      </c>
      <c r="G18" s="1079" t="s">
        <v>707</v>
      </c>
    </row>
    <row r="19" spans="1:7" ht="23.25" customHeight="1">
      <c r="A19" s="1080" t="s">
        <v>705</v>
      </c>
      <c r="B19" s="1080"/>
      <c r="C19" s="1080"/>
      <c r="D19" s="1077"/>
      <c r="E19" s="1077"/>
      <c r="F19" s="1079" t="s">
        <v>706</v>
      </c>
      <c r="G19" s="1079" t="s">
        <v>707</v>
      </c>
    </row>
    <row r="20" spans="1:7" ht="23.25" customHeight="1">
      <c r="A20" s="1080" t="s">
        <v>705</v>
      </c>
      <c r="B20" s="1080"/>
      <c r="C20" s="1080"/>
      <c r="D20" s="1077"/>
      <c r="E20" s="1077"/>
      <c r="F20" s="1079" t="s">
        <v>706</v>
      </c>
      <c r="G20" s="1079" t="s">
        <v>707</v>
      </c>
    </row>
    <row r="21" spans="1:7" ht="5.25" customHeight="1">
      <c r="A21" s="1050"/>
      <c r="B21" s="1050"/>
      <c r="C21" s="1050"/>
      <c r="D21" s="1050"/>
      <c r="E21" s="1050"/>
      <c r="F21" s="1096"/>
      <c r="G21" s="1096"/>
    </row>
    <row r="22" ht="13.5">
      <c r="A22" s="1033" t="s">
        <v>708</v>
      </c>
    </row>
    <row r="23" spans="1:7" ht="13.5">
      <c r="A23" s="1079" t="s">
        <v>318</v>
      </c>
      <c r="B23" s="1094" t="s">
        <v>3</v>
      </c>
      <c r="C23" s="1094"/>
      <c r="D23" s="1094"/>
      <c r="E23" s="1094" t="s">
        <v>0</v>
      </c>
      <c r="F23" s="1094"/>
      <c r="G23" s="1094"/>
    </row>
    <row r="24" spans="1:7" ht="59.25" customHeight="1">
      <c r="A24" s="1079" t="s">
        <v>709</v>
      </c>
      <c r="B24" s="1054"/>
      <c r="C24" s="1045"/>
      <c r="D24" s="1047"/>
      <c r="E24" s="1054"/>
      <c r="F24" s="1045"/>
      <c r="G24" s="1047"/>
    </row>
    <row r="25" spans="1:7" ht="59.25" customHeight="1">
      <c r="A25" s="1079" t="s">
        <v>710</v>
      </c>
      <c r="B25" s="1054"/>
      <c r="C25" s="1045"/>
      <c r="D25" s="1047"/>
      <c r="E25" s="1054"/>
      <c r="F25" s="1045"/>
      <c r="G25" s="1047"/>
    </row>
    <row r="26" spans="1:7" ht="59.25" customHeight="1">
      <c r="A26" s="1079" t="s">
        <v>711</v>
      </c>
      <c r="B26" s="1054"/>
      <c r="C26" s="1045"/>
      <c r="D26" s="1047"/>
      <c r="E26" s="1054"/>
      <c r="F26" s="1045"/>
      <c r="G26" s="1047"/>
    </row>
    <row r="27" spans="1:7" ht="59.25" customHeight="1">
      <c r="A27" s="1079" t="s">
        <v>712</v>
      </c>
      <c r="B27" s="1054"/>
      <c r="C27" s="1045"/>
      <c r="D27" s="1047"/>
      <c r="E27" s="1054"/>
      <c r="F27" s="1045"/>
      <c r="G27" s="1047"/>
    </row>
    <row r="28" spans="1:7" ht="59.25" customHeight="1">
      <c r="A28" s="1079" t="s">
        <v>713</v>
      </c>
      <c r="B28" s="1054"/>
      <c r="C28" s="1045"/>
      <c r="D28" s="1047"/>
      <c r="E28" s="1054"/>
      <c r="F28" s="1045"/>
      <c r="G28" s="1047"/>
    </row>
    <row r="29" spans="1:7" ht="59.25" customHeight="1">
      <c r="A29" s="1079" t="s">
        <v>714</v>
      </c>
      <c r="B29" s="1054"/>
      <c r="C29" s="1045"/>
      <c r="D29" s="1047"/>
      <c r="E29" s="1054"/>
      <c r="F29" s="1045"/>
      <c r="G29" s="1047"/>
    </row>
  </sheetData>
  <sheetProtection/>
  <mergeCells count="21">
    <mergeCell ref="A20:C20"/>
    <mergeCell ref="B23:D23"/>
    <mergeCell ref="E23:G23"/>
    <mergeCell ref="A14:C14"/>
    <mergeCell ref="A15:C15"/>
    <mergeCell ref="A16:C16"/>
    <mergeCell ref="A17:C17"/>
    <mergeCell ref="A18:C18"/>
    <mergeCell ref="A19:C19"/>
    <mergeCell ref="A7:B7"/>
    <mergeCell ref="E7:E9"/>
    <mergeCell ref="F7:F9"/>
    <mergeCell ref="G7:G9"/>
    <mergeCell ref="A8:B8"/>
    <mergeCell ref="A9:B9"/>
    <mergeCell ref="A4:B4"/>
    <mergeCell ref="A5:B6"/>
    <mergeCell ref="C5:C6"/>
    <mergeCell ref="D5:D6"/>
    <mergeCell ref="E5:E6"/>
    <mergeCell ref="F5:G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="80" zoomScaleNormal="80" zoomScalePageLayoutView="0" workbookViewId="0" topLeftCell="A1">
      <selection activeCell="F34" sqref="F34"/>
    </sheetView>
  </sheetViews>
  <sheetFormatPr defaultColWidth="9.00390625" defaultRowHeight="13.5"/>
  <cols>
    <col min="1" max="1" width="2.875" style="1033" customWidth="1"/>
    <col min="2" max="2" width="3.00390625" style="1033" customWidth="1"/>
    <col min="3" max="3" width="9.75390625" style="1033" customWidth="1"/>
    <col min="4" max="9" width="11.375" style="1033" customWidth="1"/>
    <col min="10" max="10" width="12.25390625" style="1033" customWidth="1"/>
    <col min="11" max="11" width="4.50390625" style="1033" customWidth="1"/>
    <col min="12" max="16384" width="9.00390625" style="1033" customWidth="1"/>
  </cols>
  <sheetData>
    <row r="1" spans="1:9" ht="15" customHeight="1">
      <c r="A1" s="1097" t="s">
        <v>715</v>
      </c>
      <c r="B1" s="1094" t="s">
        <v>318</v>
      </c>
      <c r="C1" s="1094"/>
      <c r="D1" s="1079" t="s">
        <v>323</v>
      </c>
      <c r="E1" s="1079" t="s">
        <v>324</v>
      </c>
      <c r="F1" s="1094" t="s">
        <v>3</v>
      </c>
      <c r="G1" s="1094"/>
      <c r="H1" s="1094" t="s">
        <v>716</v>
      </c>
      <c r="I1" s="1094"/>
    </row>
    <row r="2" spans="1:9" ht="22.5" customHeight="1">
      <c r="A2" s="1097"/>
      <c r="B2" s="1080" t="s">
        <v>717</v>
      </c>
      <c r="C2" s="1080"/>
      <c r="D2" s="1077" t="s">
        <v>124</v>
      </c>
      <c r="E2" s="1077"/>
      <c r="F2" s="1054"/>
      <c r="G2" s="1045"/>
      <c r="H2" s="1054"/>
      <c r="I2" s="1047"/>
    </row>
    <row r="3" spans="1:9" ht="22.5" customHeight="1">
      <c r="A3" s="1097"/>
      <c r="B3" s="1080"/>
      <c r="C3" s="1080"/>
      <c r="D3" s="1077"/>
      <c r="E3" s="1077"/>
      <c r="F3" s="1054"/>
      <c r="G3" s="1045"/>
      <c r="H3" s="1054"/>
      <c r="I3" s="1047"/>
    </row>
    <row r="4" spans="1:9" ht="22.5" customHeight="1">
      <c r="A4" s="1097"/>
      <c r="B4" s="1080"/>
      <c r="C4" s="1080"/>
      <c r="D4" s="1077"/>
      <c r="E4" s="1077"/>
      <c r="F4" s="1054"/>
      <c r="G4" s="1045"/>
      <c r="H4" s="1054"/>
      <c r="I4" s="1047"/>
    </row>
    <row r="5" spans="1:9" ht="22.5" customHeight="1">
      <c r="A5" s="1097"/>
      <c r="B5" s="1080" t="s">
        <v>718</v>
      </c>
      <c r="C5" s="1080"/>
      <c r="D5" s="1077" t="s">
        <v>124</v>
      </c>
      <c r="E5" s="1077"/>
      <c r="F5" s="1054"/>
      <c r="G5" s="1045"/>
      <c r="H5" s="1054"/>
      <c r="I5" s="1047"/>
    </row>
    <row r="6" spans="1:9" ht="22.5" customHeight="1">
      <c r="A6" s="1097"/>
      <c r="B6" s="1080"/>
      <c r="C6" s="1080"/>
      <c r="D6" s="1077"/>
      <c r="E6" s="1077"/>
      <c r="F6" s="1054"/>
      <c r="G6" s="1045"/>
      <c r="H6" s="1054"/>
      <c r="I6" s="1047"/>
    </row>
    <row r="7" spans="1:9" ht="22.5" customHeight="1">
      <c r="A7" s="1097"/>
      <c r="B7" s="1080"/>
      <c r="C7" s="1080"/>
      <c r="D7" s="1077"/>
      <c r="E7" s="1077"/>
      <c r="F7" s="1054"/>
      <c r="G7" s="1045"/>
      <c r="H7" s="1054"/>
      <c r="I7" s="1047"/>
    </row>
    <row r="8" spans="1:9" ht="15.75" customHeight="1">
      <c r="A8" s="1097"/>
      <c r="B8" s="1080" t="s">
        <v>326</v>
      </c>
      <c r="C8" s="1080"/>
      <c r="D8" s="1094" t="s">
        <v>132</v>
      </c>
      <c r="E8" s="1094" t="s">
        <v>327</v>
      </c>
      <c r="F8" s="1094" t="s">
        <v>3</v>
      </c>
      <c r="G8" s="1094"/>
      <c r="H8" s="1094" t="s">
        <v>716</v>
      </c>
      <c r="I8" s="1094"/>
    </row>
    <row r="9" spans="1:9" ht="15.75" customHeight="1">
      <c r="A9" s="1097"/>
      <c r="B9" s="1080"/>
      <c r="C9" s="1080"/>
      <c r="D9" s="1094"/>
      <c r="E9" s="1094"/>
      <c r="F9" s="1098" t="s">
        <v>328</v>
      </c>
      <c r="G9" s="1079" t="s">
        <v>322</v>
      </c>
      <c r="H9" s="1098" t="s">
        <v>328</v>
      </c>
      <c r="I9" s="1079" t="s">
        <v>322</v>
      </c>
    </row>
    <row r="10" spans="1:9" ht="31.5" customHeight="1">
      <c r="A10" s="1097"/>
      <c r="B10" s="1080"/>
      <c r="C10" s="1080"/>
      <c r="D10" s="1077"/>
      <c r="E10" s="1077"/>
      <c r="F10" s="1077"/>
      <c r="G10" s="1077"/>
      <c r="H10" s="1077"/>
      <c r="I10" s="1077"/>
    </row>
    <row r="11" spans="1:9" ht="13.5">
      <c r="A11" s="1097"/>
      <c r="B11" s="1097" t="s">
        <v>329</v>
      </c>
      <c r="C11" s="1079" t="s">
        <v>132</v>
      </c>
      <c r="D11" s="1043" t="s">
        <v>327</v>
      </c>
      <c r="E11" s="1044"/>
      <c r="F11" s="1094" t="s">
        <v>3</v>
      </c>
      <c r="G11" s="1094"/>
      <c r="H11" s="1094" t="s">
        <v>716</v>
      </c>
      <c r="I11" s="1094"/>
    </row>
    <row r="12" spans="1:9" ht="24" customHeight="1">
      <c r="A12" s="1097"/>
      <c r="B12" s="1097"/>
      <c r="C12" s="1067"/>
      <c r="D12" s="1075"/>
      <c r="E12" s="1076"/>
      <c r="F12" s="1075"/>
      <c r="G12" s="1061"/>
      <c r="H12" s="1075"/>
      <c r="I12" s="1076"/>
    </row>
    <row r="13" spans="1:9" ht="24" customHeight="1">
      <c r="A13" s="1097"/>
      <c r="B13" s="1097"/>
      <c r="C13" s="1071"/>
      <c r="D13" s="358"/>
      <c r="E13" s="1052"/>
      <c r="F13" s="358"/>
      <c r="G13" s="357"/>
      <c r="H13" s="358"/>
      <c r="I13" s="1052"/>
    </row>
    <row r="14" spans="1:9" ht="18.75" customHeight="1">
      <c r="A14" s="1097"/>
      <c r="B14" s="1097"/>
      <c r="C14" s="1099" t="s">
        <v>719</v>
      </c>
      <c r="D14" s="1100"/>
      <c r="E14" s="1101"/>
      <c r="F14" s="1054"/>
      <c r="G14" s="1045"/>
      <c r="H14" s="1054"/>
      <c r="I14" s="1047"/>
    </row>
    <row r="15" spans="1:9" ht="18.75" customHeight="1">
      <c r="A15" s="1097"/>
      <c r="B15" s="1097"/>
      <c r="C15" s="1099" t="s">
        <v>720</v>
      </c>
      <c r="D15" s="1100"/>
      <c r="E15" s="1101"/>
      <c r="F15" s="1054"/>
      <c r="G15" s="1045"/>
      <c r="H15" s="1054"/>
      <c r="I15" s="1047"/>
    </row>
    <row r="16" spans="1:9" ht="16.5" customHeight="1">
      <c r="A16" s="1097"/>
      <c r="B16" s="1102" t="s">
        <v>721</v>
      </c>
      <c r="C16" s="1103"/>
      <c r="D16" s="1079" t="s">
        <v>722</v>
      </c>
      <c r="E16" s="1079" t="s">
        <v>336</v>
      </c>
      <c r="F16" s="1094" t="s">
        <v>3</v>
      </c>
      <c r="G16" s="1094"/>
      <c r="H16" s="1094" t="s">
        <v>716</v>
      </c>
      <c r="I16" s="1094"/>
    </row>
    <row r="17" spans="1:9" ht="48" customHeight="1">
      <c r="A17" s="1097"/>
      <c r="B17" s="1104"/>
      <c r="C17" s="1105"/>
      <c r="D17" s="1077"/>
      <c r="E17" s="1077"/>
      <c r="F17" s="1054"/>
      <c r="G17" s="1045"/>
      <c r="H17" s="1054"/>
      <c r="I17" s="1047"/>
    </row>
    <row r="18" spans="1:9" ht="17.25" customHeight="1">
      <c r="A18" s="1106" t="s">
        <v>723</v>
      </c>
      <c r="B18" s="1069" t="s">
        <v>330</v>
      </c>
      <c r="C18" s="1057"/>
      <c r="D18" s="1057"/>
      <c r="E18" s="1070"/>
      <c r="F18" s="1107" t="s">
        <v>724</v>
      </c>
      <c r="G18" s="1108"/>
      <c r="H18" s="1108"/>
      <c r="I18" s="1109"/>
    </row>
    <row r="19" spans="1:9" ht="18" customHeight="1">
      <c r="A19" s="1110"/>
      <c r="B19" s="1072"/>
      <c r="C19" s="1074"/>
      <c r="D19" s="1074"/>
      <c r="E19" s="1073"/>
      <c r="F19" s="1043" t="s">
        <v>3</v>
      </c>
      <c r="G19" s="1058"/>
      <c r="H19" s="1043" t="s">
        <v>716</v>
      </c>
      <c r="I19" s="1044"/>
    </row>
    <row r="20" spans="1:9" ht="29.25" customHeight="1">
      <c r="A20" s="1110"/>
      <c r="B20" s="1054"/>
      <c r="C20" s="1045"/>
      <c r="D20" s="1045"/>
      <c r="E20" s="1045"/>
      <c r="F20" s="1054"/>
      <c r="G20" s="1045"/>
      <c r="H20" s="1054"/>
      <c r="I20" s="1047"/>
    </row>
    <row r="21" spans="1:9" ht="29.25" customHeight="1">
      <c r="A21" s="1110"/>
      <c r="B21" s="1054"/>
      <c r="C21" s="1045"/>
      <c r="D21" s="1045"/>
      <c r="E21" s="1045"/>
      <c r="F21" s="1054"/>
      <c r="G21" s="1045"/>
      <c r="H21" s="1054"/>
      <c r="I21" s="1047"/>
    </row>
    <row r="22" spans="1:9" ht="29.25" customHeight="1">
      <c r="A22" s="1110"/>
      <c r="B22" s="1054"/>
      <c r="C22" s="1045"/>
      <c r="D22" s="1045"/>
      <c r="E22" s="1045"/>
      <c r="F22" s="1054"/>
      <c r="G22" s="1045"/>
      <c r="H22" s="1054"/>
      <c r="I22" s="1047"/>
    </row>
    <row r="23" spans="1:9" ht="29.25" customHeight="1">
      <c r="A23" s="1110"/>
      <c r="B23" s="1054"/>
      <c r="C23" s="1045"/>
      <c r="D23" s="1045"/>
      <c r="E23" s="1045"/>
      <c r="F23" s="1054"/>
      <c r="G23" s="1045"/>
      <c r="H23" s="1054"/>
      <c r="I23" s="1047"/>
    </row>
    <row r="24" spans="1:9" ht="29.25" customHeight="1">
      <c r="A24" s="1110"/>
      <c r="B24" s="1054"/>
      <c r="C24" s="1045"/>
      <c r="D24" s="1045"/>
      <c r="E24" s="1045"/>
      <c r="F24" s="1054"/>
      <c r="G24" s="1045"/>
      <c r="H24" s="1054"/>
      <c r="I24" s="1047"/>
    </row>
    <row r="25" spans="1:9" ht="29.25" customHeight="1">
      <c r="A25" s="1110"/>
      <c r="B25" s="1054"/>
      <c r="C25" s="1045"/>
      <c r="D25" s="1045"/>
      <c r="E25" s="1045"/>
      <c r="F25" s="1054"/>
      <c r="G25" s="1045"/>
      <c r="H25" s="1054"/>
      <c r="I25" s="1047"/>
    </row>
    <row r="26" spans="1:9" ht="29.25" customHeight="1">
      <c r="A26" s="1110"/>
      <c r="B26" s="1054"/>
      <c r="C26" s="1045"/>
      <c r="D26" s="1045"/>
      <c r="E26" s="1045"/>
      <c r="F26" s="1054"/>
      <c r="G26" s="1045"/>
      <c r="H26" s="1054"/>
      <c r="I26" s="1047"/>
    </row>
    <row r="27" spans="1:9" ht="28.5" customHeight="1">
      <c r="A27" s="1110"/>
      <c r="B27" s="1111" t="s">
        <v>725</v>
      </c>
      <c r="C27" s="1112"/>
      <c r="D27" s="1043" t="s">
        <v>726</v>
      </c>
      <c r="E27" s="1044"/>
      <c r="F27" s="1043" t="s">
        <v>727</v>
      </c>
      <c r="G27" s="1044"/>
      <c r="H27" s="359" t="s">
        <v>728</v>
      </c>
      <c r="I27" s="1079" t="s">
        <v>21</v>
      </c>
    </row>
    <row r="28" spans="1:9" ht="36" customHeight="1">
      <c r="A28" s="1110"/>
      <c r="B28" s="1113"/>
      <c r="C28" s="1114"/>
      <c r="D28" s="1115"/>
      <c r="E28" s="1116"/>
      <c r="F28" s="1115"/>
      <c r="G28" s="1116"/>
      <c r="H28" s="359"/>
      <c r="I28" s="1079"/>
    </row>
    <row r="29" spans="1:9" ht="36" customHeight="1">
      <c r="A29" s="1110"/>
      <c r="B29" s="1113"/>
      <c r="C29" s="1114"/>
      <c r="D29" s="1115"/>
      <c r="E29" s="1116"/>
      <c r="F29" s="1115"/>
      <c r="G29" s="1116"/>
      <c r="H29" s="359"/>
      <c r="I29" s="1079"/>
    </row>
    <row r="30" spans="1:9" ht="36" customHeight="1">
      <c r="A30" s="1110"/>
      <c r="B30" s="1113"/>
      <c r="C30" s="1114"/>
      <c r="D30" s="1115"/>
      <c r="E30" s="1116"/>
      <c r="F30" s="1115"/>
      <c r="G30" s="1116"/>
      <c r="H30" s="359"/>
      <c r="I30" s="1079"/>
    </row>
    <row r="31" spans="1:9" ht="36" customHeight="1">
      <c r="A31" s="1117"/>
      <c r="B31" s="1054"/>
      <c r="C31" s="1045"/>
      <c r="D31" s="1054"/>
      <c r="E31" s="1047"/>
      <c r="F31" s="1054"/>
      <c r="G31" s="1047"/>
      <c r="H31" s="1045"/>
      <c r="I31" s="1077"/>
    </row>
  </sheetData>
  <sheetProtection/>
  <mergeCells count="28">
    <mergeCell ref="F27:G27"/>
    <mergeCell ref="B16:C17"/>
    <mergeCell ref="F16:G16"/>
    <mergeCell ref="H16:I16"/>
    <mergeCell ref="A18:A31"/>
    <mergeCell ref="B18:E19"/>
    <mergeCell ref="F18:I18"/>
    <mergeCell ref="F19:G19"/>
    <mergeCell ref="H19:I19"/>
    <mergeCell ref="B27:C27"/>
    <mergeCell ref="D27:E27"/>
    <mergeCell ref="H8:I8"/>
    <mergeCell ref="B11:B15"/>
    <mergeCell ref="D11:E11"/>
    <mergeCell ref="F11:G11"/>
    <mergeCell ref="H11:I11"/>
    <mergeCell ref="C14:E14"/>
    <mergeCell ref="C15:E15"/>
    <mergeCell ref="A1:A17"/>
    <mergeCell ref="B1:C1"/>
    <mergeCell ref="F1:G1"/>
    <mergeCell ref="H1:I1"/>
    <mergeCell ref="B2:C4"/>
    <mergeCell ref="B5:C7"/>
    <mergeCell ref="B8:C10"/>
    <mergeCell ref="D8:D9"/>
    <mergeCell ref="E8:E9"/>
    <mergeCell ref="F8:G8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80" zoomScaleNormal="80" zoomScalePageLayoutView="0" workbookViewId="0" topLeftCell="A1">
      <selection activeCell="F34" sqref="F34"/>
    </sheetView>
  </sheetViews>
  <sheetFormatPr defaultColWidth="9.00390625" defaultRowHeight="13.5"/>
  <cols>
    <col min="1" max="1" width="2.875" style="1033" customWidth="1"/>
    <col min="2" max="2" width="18.375" style="1033" customWidth="1"/>
    <col min="3" max="3" width="6.375" style="1033" customWidth="1"/>
    <col min="4" max="4" width="14.375" style="1033" customWidth="1"/>
    <col min="5" max="5" width="11.375" style="1033" customWidth="1"/>
    <col min="6" max="6" width="10.75390625" style="1033" customWidth="1"/>
    <col min="7" max="7" width="11.375" style="1033" customWidth="1"/>
    <col min="8" max="8" width="10.75390625" style="1033" customWidth="1"/>
    <col min="9" max="16384" width="9.00390625" style="1033" customWidth="1"/>
  </cols>
  <sheetData>
    <row r="1" spans="1:8" ht="15" customHeight="1">
      <c r="A1" s="1118" t="s">
        <v>729</v>
      </c>
      <c r="B1" s="1081" t="s">
        <v>730</v>
      </c>
      <c r="C1" s="1082" t="s">
        <v>331</v>
      </c>
      <c r="D1" s="1081" t="s">
        <v>731</v>
      </c>
      <c r="E1" s="1094" t="s">
        <v>3</v>
      </c>
      <c r="F1" s="1094"/>
      <c r="G1" s="1043" t="s">
        <v>4</v>
      </c>
      <c r="H1" s="1044"/>
    </row>
    <row r="2" spans="1:8" ht="33.75" customHeight="1">
      <c r="A2" s="1119"/>
      <c r="B2" s="1086"/>
      <c r="C2" s="1086"/>
      <c r="D2" s="1086"/>
      <c r="E2" s="1079" t="s">
        <v>337</v>
      </c>
      <c r="F2" s="1120" t="s">
        <v>732</v>
      </c>
      <c r="G2" s="1079" t="s">
        <v>337</v>
      </c>
      <c r="H2" s="1095" t="s">
        <v>732</v>
      </c>
    </row>
    <row r="3" spans="1:8" ht="30" customHeight="1">
      <c r="A3" s="1119"/>
      <c r="B3" s="1077"/>
      <c r="C3" s="1077"/>
      <c r="D3" s="1077"/>
      <c r="E3" s="1077"/>
      <c r="F3" s="1054"/>
      <c r="G3" s="1077"/>
      <c r="H3" s="1077"/>
    </row>
    <row r="4" spans="1:8" ht="30" customHeight="1">
      <c r="A4" s="1119"/>
      <c r="B4" s="1077"/>
      <c r="C4" s="1077"/>
      <c r="D4" s="1077"/>
      <c r="E4" s="1077"/>
      <c r="F4" s="1054"/>
      <c r="G4" s="1077"/>
      <c r="H4" s="1077"/>
    </row>
    <row r="5" spans="1:8" ht="30" customHeight="1">
      <c r="A5" s="1119"/>
      <c r="B5" s="1077"/>
      <c r="C5" s="1077"/>
      <c r="D5" s="1077"/>
      <c r="E5" s="1077"/>
      <c r="F5" s="1054"/>
      <c r="G5" s="1077"/>
      <c r="H5" s="1077"/>
    </row>
    <row r="6" spans="1:8" ht="30" customHeight="1">
      <c r="A6" s="1119"/>
      <c r="B6" s="1077"/>
      <c r="C6" s="1077"/>
      <c r="D6" s="1077"/>
      <c r="E6" s="1077"/>
      <c r="F6" s="1054"/>
      <c r="G6" s="1077"/>
      <c r="H6" s="1077"/>
    </row>
    <row r="7" spans="1:8" ht="30" customHeight="1">
      <c r="A7" s="1121"/>
      <c r="B7" s="1077"/>
      <c r="C7" s="1077"/>
      <c r="D7" s="1077"/>
      <c r="E7" s="1077"/>
      <c r="F7" s="1054"/>
      <c r="G7" s="1077"/>
      <c r="H7" s="1077"/>
    </row>
    <row r="8" spans="1:8" ht="30" customHeight="1">
      <c r="A8" s="1122" t="s">
        <v>320</v>
      </c>
      <c r="B8" s="1123" t="s">
        <v>733</v>
      </c>
      <c r="C8" s="1123"/>
      <c r="D8" s="1124" t="s">
        <v>332</v>
      </c>
      <c r="E8" s="1079" t="s">
        <v>3</v>
      </c>
      <c r="F8" s="1125" t="s">
        <v>734</v>
      </c>
      <c r="G8" s="1079" t="s">
        <v>4</v>
      </c>
      <c r="H8" s="1125" t="s">
        <v>734</v>
      </c>
    </row>
    <row r="9" spans="1:8" ht="30" customHeight="1">
      <c r="A9" s="1122"/>
      <c r="B9" s="1123" t="s">
        <v>735</v>
      </c>
      <c r="C9" s="1123"/>
      <c r="D9" s="1124" t="s">
        <v>332</v>
      </c>
      <c r="E9" s="1079" t="s">
        <v>3</v>
      </c>
      <c r="F9" s="1125" t="s">
        <v>734</v>
      </c>
      <c r="G9" s="1079" t="s">
        <v>4</v>
      </c>
      <c r="H9" s="1125" t="s">
        <v>734</v>
      </c>
    </row>
    <row r="10" spans="1:8" ht="30" customHeight="1">
      <c r="A10" s="1122"/>
      <c r="B10" s="1123"/>
      <c r="C10" s="1123"/>
      <c r="D10" s="1124" t="s">
        <v>333</v>
      </c>
      <c r="E10" s="1079" t="s">
        <v>3</v>
      </c>
      <c r="F10" s="1125" t="s">
        <v>734</v>
      </c>
      <c r="G10" s="1079" t="s">
        <v>4</v>
      </c>
      <c r="H10" s="1125" t="s">
        <v>734</v>
      </c>
    </row>
    <row r="11" spans="1:8" ht="9.75" customHeight="1">
      <c r="A11" s="1126"/>
      <c r="B11" s="1050"/>
      <c r="C11" s="1050"/>
      <c r="D11" s="1127"/>
      <c r="E11" s="1096"/>
      <c r="F11" s="1128"/>
      <c r="G11" s="1096"/>
      <c r="H11" s="1128"/>
    </row>
    <row r="12" ht="15.75" customHeight="1">
      <c r="A12" s="1033" t="s">
        <v>736</v>
      </c>
    </row>
    <row r="13" ht="15.75" customHeight="1">
      <c r="A13" s="1033" t="s">
        <v>737</v>
      </c>
    </row>
    <row r="14" spans="1:8" ht="15" customHeight="1">
      <c r="A14" s="1129"/>
      <c r="B14" s="1130"/>
      <c r="C14" s="1043" t="s">
        <v>738</v>
      </c>
      <c r="D14" s="1058"/>
      <c r="E14" s="1058"/>
      <c r="F14" s="1058"/>
      <c r="G14" s="1058"/>
      <c r="H14" s="1044"/>
    </row>
    <row r="15" spans="1:8" ht="30.75" customHeight="1">
      <c r="A15" s="1094" t="s">
        <v>739</v>
      </c>
      <c r="B15" s="1094"/>
      <c r="C15" s="1080"/>
      <c r="D15" s="1080"/>
      <c r="E15" s="1080"/>
      <c r="F15" s="1080"/>
      <c r="G15" s="1080"/>
      <c r="H15" s="1080"/>
    </row>
    <row r="16" spans="1:8" ht="30.75" customHeight="1">
      <c r="A16" s="1094" t="s">
        <v>740</v>
      </c>
      <c r="B16" s="1094"/>
      <c r="C16" s="1080"/>
      <c r="D16" s="1080"/>
      <c r="E16" s="1080"/>
      <c r="F16" s="1080"/>
      <c r="G16" s="1080"/>
      <c r="H16" s="1080"/>
    </row>
    <row r="17" spans="1:8" ht="30.75" customHeight="1">
      <c r="A17" s="1094" t="s">
        <v>741</v>
      </c>
      <c r="B17" s="1094"/>
      <c r="C17" s="1080"/>
      <c r="D17" s="1080"/>
      <c r="E17" s="1080"/>
      <c r="F17" s="1080"/>
      <c r="G17" s="1080"/>
      <c r="H17" s="1080"/>
    </row>
    <row r="18" spans="1:8" ht="30.75" customHeight="1">
      <c r="A18" s="1094" t="s">
        <v>742</v>
      </c>
      <c r="B18" s="1094"/>
      <c r="C18" s="1080"/>
      <c r="D18" s="1080"/>
      <c r="E18" s="1080"/>
      <c r="F18" s="1080"/>
      <c r="G18" s="1080"/>
      <c r="H18" s="1080"/>
    </row>
    <row r="19" spans="1:8" ht="30.75" customHeight="1">
      <c r="A19" s="1094" t="s">
        <v>743</v>
      </c>
      <c r="B19" s="1094"/>
      <c r="C19" s="1080"/>
      <c r="D19" s="1080"/>
      <c r="E19" s="1080"/>
      <c r="F19" s="1080"/>
      <c r="G19" s="1080"/>
      <c r="H19" s="1080"/>
    </row>
    <row r="20" spans="1:8" ht="30.75" customHeight="1">
      <c r="A20" s="1094" t="s">
        <v>744</v>
      </c>
      <c r="B20" s="1094"/>
      <c r="C20" s="1080"/>
      <c r="D20" s="1080"/>
      <c r="E20" s="1080"/>
      <c r="F20" s="1080"/>
      <c r="G20" s="1080"/>
      <c r="H20" s="1080"/>
    </row>
    <row r="21" spans="1:8" ht="30.75" customHeight="1">
      <c r="A21" s="1131" t="s">
        <v>745</v>
      </c>
      <c r="B21" s="1131"/>
      <c r="C21" s="1080"/>
      <c r="D21" s="1080"/>
      <c r="E21" s="1080"/>
      <c r="F21" s="1080"/>
      <c r="G21" s="1080"/>
      <c r="H21" s="1080"/>
    </row>
    <row r="22" ht="12" customHeight="1">
      <c r="A22" s="1033" t="s">
        <v>746</v>
      </c>
    </row>
    <row r="23" ht="12" customHeight="1">
      <c r="A23" s="1033" t="s">
        <v>747</v>
      </c>
    </row>
    <row r="24" spans="1:8" ht="16.5" customHeight="1">
      <c r="A24" s="1132" t="s">
        <v>748</v>
      </c>
      <c r="B24" s="1041" t="s">
        <v>749</v>
      </c>
      <c r="C24" s="1042"/>
      <c r="D24" s="1043" t="s">
        <v>750</v>
      </c>
      <c r="E24" s="1044"/>
      <c r="F24" s="1094" t="s">
        <v>751</v>
      </c>
      <c r="G24" s="1094"/>
      <c r="H24" s="1094"/>
    </row>
    <row r="25" spans="1:8" ht="26.25" customHeight="1">
      <c r="A25" s="1132"/>
      <c r="B25" s="1129"/>
      <c r="C25" s="1130"/>
      <c r="D25" s="1043"/>
      <c r="E25" s="1044"/>
      <c r="F25" s="1094"/>
      <c r="G25" s="1094"/>
      <c r="H25" s="1094"/>
    </row>
    <row r="26" spans="1:8" ht="28.5" customHeight="1">
      <c r="A26" s="1132"/>
      <c r="B26" s="1124" t="s">
        <v>752</v>
      </c>
      <c r="C26" s="1043"/>
      <c r="D26" s="1058"/>
      <c r="E26" s="1058"/>
      <c r="F26" s="1058"/>
      <c r="G26" s="1058"/>
      <c r="H26" s="1044"/>
    </row>
    <row r="27" spans="1:8" ht="28.5" customHeight="1">
      <c r="A27" s="1132"/>
      <c r="B27" s="1124" t="s">
        <v>753</v>
      </c>
      <c r="C27" s="1043"/>
      <c r="D27" s="1058"/>
      <c r="E27" s="1058"/>
      <c r="F27" s="1058"/>
      <c r="G27" s="1058"/>
      <c r="H27" s="1044"/>
    </row>
    <row r="28" spans="1:8" ht="28.5" customHeight="1">
      <c r="A28" s="1132"/>
      <c r="B28" s="1124" t="s">
        <v>754</v>
      </c>
      <c r="C28" s="1043"/>
      <c r="D28" s="1058"/>
      <c r="E28" s="1058"/>
      <c r="F28" s="1058"/>
      <c r="G28" s="1058"/>
      <c r="H28" s="1044"/>
    </row>
    <row r="29" ht="13.5">
      <c r="A29" s="1033" t="s">
        <v>755</v>
      </c>
    </row>
    <row r="30" ht="13.5">
      <c r="A30" s="1033" t="s">
        <v>756</v>
      </c>
    </row>
    <row r="31" spans="1:8" ht="15" customHeight="1">
      <c r="A31" s="1069" t="s">
        <v>757</v>
      </c>
      <c r="B31" s="1070"/>
      <c r="C31" s="1094" t="s">
        <v>334</v>
      </c>
      <c r="D31" s="1094"/>
      <c r="E31" s="1094" t="s">
        <v>335</v>
      </c>
      <c r="F31" s="1094"/>
      <c r="G31" s="1094" t="s">
        <v>21</v>
      </c>
      <c r="H31" s="1094"/>
    </row>
    <row r="32" spans="1:8" ht="21" customHeight="1">
      <c r="A32" s="1083"/>
      <c r="B32" s="1084"/>
      <c r="C32" s="1080"/>
      <c r="D32" s="1080"/>
      <c r="E32" s="1080"/>
      <c r="F32" s="1080"/>
      <c r="G32" s="1080"/>
      <c r="H32" s="1080"/>
    </row>
    <row r="33" spans="1:8" ht="21" customHeight="1">
      <c r="A33" s="1072"/>
      <c r="B33" s="1073"/>
      <c r="C33" s="1080"/>
      <c r="D33" s="1080"/>
      <c r="E33" s="1080"/>
      <c r="F33" s="1080"/>
      <c r="G33" s="1080"/>
      <c r="H33" s="1080"/>
    </row>
  </sheetData>
  <sheetProtection/>
  <mergeCells count="45">
    <mergeCell ref="A31:B33"/>
    <mergeCell ref="C31:D31"/>
    <mergeCell ref="E31:F31"/>
    <mergeCell ref="G31:H31"/>
    <mergeCell ref="C32:D32"/>
    <mergeCell ref="E32:F32"/>
    <mergeCell ref="G32:H32"/>
    <mergeCell ref="C33:D33"/>
    <mergeCell ref="E33:F33"/>
    <mergeCell ref="G33:H33"/>
    <mergeCell ref="A24:A28"/>
    <mergeCell ref="B24:C24"/>
    <mergeCell ref="D24:E24"/>
    <mergeCell ref="F24:H24"/>
    <mergeCell ref="B25:C25"/>
    <mergeCell ref="D25:E25"/>
    <mergeCell ref="F25:H25"/>
    <mergeCell ref="C26:H26"/>
    <mergeCell ref="C27:H27"/>
    <mergeCell ref="C28:H28"/>
    <mergeCell ref="A19:B19"/>
    <mergeCell ref="C19:H19"/>
    <mergeCell ref="A20:B20"/>
    <mergeCell ref="C20:H20"/>
    <mergeCell ref="A21:B21"/>
    <mergeCell ref="C21:H21"/>
    <mergeCell ref="A16:B16"/>
    <mergeCell ref="C16:H16"/>
    <mergeCell ref="A17:B17"/>
    <mergeCell ref="C17:H17"/>
    <mergeCell ref="A18:B18"/>
    <mergeCell ref="C18:H18"/>
    <mergeCell ref="A8:A10"/>
    <mergeCell ref="B8:C8"/>
    <mergeCell ref="B9:C10"/>
    <mergeCell ref="A14:B14"/>
    <mergeCell ref="C14:H14"/>
    <mergeCell ref="A15:B15"/>
    <mergeCell ref="C15:H15"/>
    <mergeCell ref="A1:A7"/>
    <mergeCell ref="B1:B2"/>
    <mergeCell ref="C1:C2"/>
    <mergeCell ref="D1:D2"/>
    <mergeCell ref="E1:F1"/>
    <mergeCell ref="G1:H1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4"/>
  <sheetViews>
    <sheetView showGridLines="0" zoomScale="80" zoomScaleNormal="80" zoomScalePageLayoutView="0" workbookViewId="0" topLeftCell="A1">
      <selection activeCell="O36" sqref="O36"/>
    </sheetView>
  </sheetViews>
  <sheetFormatPr defaultColWidth="4.25390625" defaultRowHeight="15" customHeight="1"/>
  <cols>
    <col min="1" max="8" width="4.25390625" style="9" customWidth="1"/>
    <col min="9" max="9" width="3.625" style="9" customWidth="1"/>
    <col min="10" max="13" width="4.25390625" style="9" customWidth="1"/>
    <col min="14" max="14" width="5.25390625" style="9" customWidth="1"/>
    <col min="15" max="15" width="7.875" style="9" customWidth="1"/>
    <col min="16" max="16" width="3.125" style="9" customWidth="1"/>
    <col min="17" max="17" width="5.25390625" style="9" customWidth="1"/>
    <col min="18" max="18" width="7.125" style="9" customWidth="1"/>
    <col min="19" max="19" width="3.125" style="9" customWidth="1"/>
    <col min="20" max="20" width="5.25390625" style="9" customWidth="1"/>
    <col min="21" max="21" width="6.75390625" style="9" customWidth="1"/>
    <col min="22" max="22" width="3.125" style="9" customWidth="1"/>
    <col min="23" max="23" width="5.25390625" style="9" customWidth="1"/>
    <col min="24" max="24" width="8.125" style="9" customWidth="1"/>
    <col min="25" max="25" width="3.125" style="9" customWidth="1"/>
    <col min="26" max="26" width="5.25390625" style="9" customWidth="1"/>
    <col min="27" max="27" width="8.25390625" style="9" customWidth="1"/>
    <col min="28" max="28" width="3.125" style="9" customWidth="1"/>
    <col min="29" max="29" width="5.25390625" style="9" customWidth="1"/>
    <col min="30" max="30" width="7.25390625" style="9" customWidth="1"/>
    <col min="31" max="31" width="3.125" style="9" customWidth="1"/>
    <col min="32" max="38" width="4.25390625" style="9" customWidth="1"/>
    <col min="39" max="39" width="14.00390625" style="9" customWidth="1"/>
    <col min="40" max="40" width="1.25" style="9" customWidth="1"/>
    <col min="41" max="41" width="2.75390625" style="9" customWidth="1"/>
    <col min="42" max="42" width="14.75390625" style="9" customWidth="1"/>
    <col min="43" max="43" width="1.25" style="9" customWidth="1"/>
    <col min="44" max="44" width="3.125" style="9" customWidth="1"/>
    <col min="45" max="45" width="14.625" style="9" customWidth="1"/>
    <col min="46" max="46" width="1.4921875" style="9" customWidth="1"/>
    <col min="47" max="47" width="2.625" style="9" customWidth="1"/>
    <col min="48" max="48" width="14.875" style="9" customWidth="1"/>
    <col min="49" max="49" width="1.25" style="9" customWidth="1"/>
    <col min="50" max="50" width="2.625" style="9" customWidth="1"/>
    <col min="51" max="51" width="15.625" style="9" customWidth="1"/>
    <col min="52" max="52" width="1.00390625" style="9" customWidth="1"/>
    <col min="53" max="53" width="2.75390625" style="9" customWidth="1"/>
    <col min="54" max="54" width="13.625" style="9" customWidth="1"/>
    <col min="55" max="55" width="1.12109375" style="9" customWidth="1"/>
    <col min="56" max="56" width="2.625" style="9" customWidth="1"/>
    <col min="57" max="16384" width="4.25390625" style="9" customWidth="1"/>
  </cols>
  <sheetData>
    <row r="1" spans="1:56" s="16" customFormat="1" ht="24.75" customHeight="1">
      <c r="A1" s="522" t="s">
        <v>126</v>
      </c>
      <c r="B1" s="522"/>
      <c r="C1" s="522"/>
      <c r="D1" s="522"/>
      <c r="E1" s="522"/>
      <c r="F1" s="522"/>
      <c r="G1" s="31"/>
      <c r="H1" s="31"/>
      <c r="I1" s="523" t="s">
        <v>127</v>
      </c>
      <c r="J1" s="523"/>
      <c r="K1" s="31"/>
      <c r="L1" s="524"/>
      <c r="M1" s="524"/>
      <c r="N1" s="524"/>
      <c r="O1" s="524"/>
      <c r="P1" s="524"/>
      <c r="Q1" s="31"/>
      <c r="R1" s="31"/>
      <c r="S1" s="31"/>
      <c r="T1" s="31"/>
      <c r="U1" s="32"/>
      <c r="V1" s="32"/>
      <c r="W1" s="32"/>
      <c r="X1" s="32"/>
      <c r="Y1" s="32"/>
      <c r="Z1" s="32"/>
      <c r="AA1" s="32"/>
      <c r="AB1" s="32"/>
      <c r="AC1" s="31"/>
      <c r="AD1" s="31"/>
      <c r="AE1" s="31"/>
      <c r="AH1" s="125" t="s">
        <v>128</v>
      </c>
      <c r="AI1" s="125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32"/>
      <c r="AX1" s="32"/>
      <c r="AY1" s="32"/>
      <c r="AZ1" s="32"/>
      <c r="BA1" s="32"/>
      <c r="BB1" s="32"/>
      <c r="BC1" s="32"/>
      <c r="BD1" s="32"/>
    </row>
    <row r="2" spans="1:56" ht="15" customHeight="1">
      <c r="A2" s="3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30"/>
      <c r="Z2" s="30"/>
      <c r="AA2" s="30"/>
      <c r="AB2" s="30"/>
      <c r="AC2" s="30"/>
      <c r="AD2" s="30"/>
      <c r="AE2" s="30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</row>
    <row r="3" spans="2:56" ht="15" customHeight="1">
      <c r="B3" s="129"/>
      <c r="C3" s="129"/>
      <c r="D3" s="127"/>
      <c r="E3" s="127"/>
      <c r="F3" s="127"/>
      <c r="G3" s="127"/>
      <c r="H3" s="127"/>
      <c r="I3" s="66"/>
      <c r="K3" s="129"/>
      <c r="L3" s="129"/>
      <c r="M3" s="129"/>
      <c r="N3" s="129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128"/>
      <c r="AH3" s="6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</row>
    <row r="4" spans="1:56" ht="15" customHeight="1">
      <c r="A4" s="129" t="s">
        <v>0</v>
      </c>
      <c r="B4" s="130"/>
      <c r="C4" s="130"/>
      <c r="D4" s="30"/>
      <c r="E4" s="30"/>
      <c r="F4" s="30"/>
      <c r="G4" s="30"/>
      <c r="H4" s="30"/>
      <c r="I4" s="30"/>
      <c r="J4" s="129" t="s">
        <v>129</v>
      </c>
      <c r="K4" s="130"/>
      <c r="L4" s="130"/>
      <c r="M4" s="130"/>
      <c r="N4" s="1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H4" s="30"/>
      <c r="AI4" s="30"/>
      <c r="AJ4" s="30"/>
      <c r="AK4" s="30"/>
      <c r="AL4" s="30"/>
      <c r="AM4" s="421">
        <f>MATCH(AM5,'経営指標'!$D$1:$M$1,0)</f>
        <v>1</v>
      </c>
      <c r="AN4" s="421"/>
      <c r="AO4" s="421"/>
      <c r="AP4" s="421">
        <f>MATCH(AP5,'経営指標'!$D$1:$M$1,0)</f>
        <v>2</v>
      </c>
      <c r="AQ4" s="421"/>
      <c r="AR4" s="421"/>
      <c r="AS4" s="421" t="e">
        <f>MATCH(AS5,'経営指標'!$D$1:$M$1,0)</f>
        <v>#N/A</v>
      </c>
      <c r="AT4" s="421"/>
      <c r="AU4" s="421"/>
      <c r="AV4" s="421" t="e">
        <f>MATCH(AV5,'経営指標'!$D$1:$M$1,0)</f>
        <v>#N/A</v>
      </c>
      <c r="AW4" s="421"/>
      <c r="AX4" s="421"/>
      <c r="AY4" s="421" t="e">
        <f>MATCH(AY5,'経営指標'!$D$1:$M$1,0)</f>
        <v>#N/A</v>
      </c>
      <c r="AZ4" s="421"/>
      <c r="BA4" s="421"/>
      <c r="BB4" s="421" t="e">
        <f>MATCH(BB5,'経営指標'!$D$1:$M$1,0)</f>
        <v>#N/A</v>
      </c>
      <c r="BC4" s="30"/>
      <c r="BD4" s="30"/>
    </row>
    <row r="5" spans="1:56" ht="15" customHeight="1">
      <c r="A5" s="525" t="s">
        <v>130</v>
      </c>
      <c r="B5" s="526"/>
      <c r="C5" s="526"/>
      <c r="D5" s="526"/>
      <c r="E5" s="526"/>
      <c r="F5" s="526"/>
      <c r="G5" s="526"/>
      <c r="H5" s="527"/>
      <c r="I5" s="30"/>
      <c r="J5" s="531" t="s">
        <v>131</v>
      </c>
      <c r="K5" s="532"/>
      <c r="L5" s="532"/>
      <c r="M5" s="533"/>
      <c r="N5" s="518" t="str">
        <f>AM5</f>
        <v>サトウキビ(春+株)</v>
      </c>
      <c r="O5" s="518"/>
      <c r="P5" s="518"/>
      <c r="Q5" s="518" t="str">
        <f>IF(AP5="","",AP5)</f>
        <v>サトウキビ(夏)</v>
      </c>
      <c r="R5" s="518"/>
      <c r="S5" s="518"/>
      <c r="T5" s="518">
        <f>IF(AS5="","",AS5)</f>
      </c>
      <c r="U5" s="518"/>
      <c r="V5" s="518"/>
      <c r="W5" s="518">
        <f>IF(AV5="","",AV5)</f>
      </c>
      <c r="X5" s="518"/>
      <c r="Y5" s="518"/>
      <c r="Z5" s="518">
        <f>IF(AY5="","",AY5)</f>
      </c>
      <c r="AA5" s="518"/>
      <c r="AB5" s="518"/>
      <c r="AC5" s="551">
        <f>IF(BB5="","",BB5)</f>
      </c>
      <c r="AD5" s="552"/>
      <c r="AE5" s="553"/>
      <c r="AH5" s="30"/>
      <c r="AI5" s="546" t="s">
        <v>131</v>
      </c>
      <c r="AJ5" s="547"/>
      <c r="AK5" s="547"/>
      <c r="AL5" s="548"/>
      <c r="AM5" s="544" t="s">
        <v>635</v>
      </c>
      <c r="AN5" s="544"/>
      <c r="AO5" s="544"/>
      <c r="AP5" s="544" t="s">
        <v>636</v>
      </c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5"/>
    </row>
    <row r="6" spans="1:56" ht="15" customHeight="1">
      <c r="A6" s="528" t="s">
        <v>132</v>
      </c>
      <c r="B6" s="529"/>
      <c r="C6" s="529"/>
      <c r="D6" s="530"/>
      <c r="E6" s="534" t="s">
        <v>41</v>
      </c>
      <c r="F6" s="535"/>
      <c r="G6" s="535"/>
      <c r="H6" s="536"/>
      <c r="I6" s="30"/>
      <c r="J6" s="528" t="s">
        <v>133</v>
      </c>
      <c r="K6" s="529"/>
      <c r="L6" s="529"/>
      <c r="M6" s="530"/>
      <c r="N6" s="519"/>
      <c r="O6" s="519"/>
      <c r="P6" s="519"/>
      <c r="Q6" s="519">
        <f>IF(AP6="","",AP6)</f>
      </c>
      <c r="R6" s="519"/>
      <c r="S6" s="519"/>
      <c r="T6" s="519">
        <f>IF(AS6="","",AS6)</f>
      </c>
      <c r="U6" s="519"/>
      <c r="V6" s="519"/>
      <c r="W6" s="519">
        <f>IF(AV6="","",AV6)</f>
      </c>
      <c r="X6" s="519"/>
      <c r="Y6" s="519"/>
      <c r="Z6" s="519">
        <f>IF(AY6="","",AY6)</f>
      </c>
      <c r="AA6" s="519"/>
      <c r="AB6" s="519"/>
      <c r="AC6" s="519">
        <f>IF(BB6="","",BB6)</f>
      </c>
      <c r="AD6" s="519"/>
      <c r="AE6" s="558"/>
      <c r="AH6" s="30"/>
      <c r="AI6" s="538" t="s">
        <v>133</v>
      </c>
      <c r="AJ6" s="539"/>
      <c r="AK6" s="539"/>
      <c r="AL6" s="540"/>
      <c r="AM6" s="537"/>
      <c r="AN6" s="537"/>
      <c r="AO6" s="537"/>
      <c r="AP6" s="537"/>
      <c r="AQ6" s="537"/>
      <c r="AR6" s="537"/>
      <c r="AS6" s="537"/>
      <c r="AT6" s="537"/>
      <c r="AU6" s="537"/>
      <c r="AV6" s="537"/>
      <c r="AW6" s="537"/>
      <c r="AX6" s="537"/>
      <c r="AY6" s="537"/>
      <c r="AZ6" s="537"/>
      <c r="BA6" s="537"/>
      <c r="BB6" s="537"/>
      <c r="BC6" s="537"/>
      <c r="BD6" s="554"/>
    </row>
    <row r="7" spans="1:56" ht="15" customHeight="1">
      <c r="A7" s="56">
        <v>1</v>
      </c>
      <c r="B7" s="513" t="str">
        <f>N5</f>
        <v>サトウキビ(春+株)</v>
      </c>
      <c r="C7" s="513"/>
      <c r="D7" s="513"/>
      <c r="E7" s="514">
        <f>N13</f>
        <v>0</v>
      </c>
      <c r="F7" s="515"/>
      <c r="G7" s="515"/>
      <c r="H7" s="480" t="s">
        <v>610</v>
      </c>
      <c r="I7" s="30"/>
      <c r="J7" s="65">
        <v>1</v>
      </c>
      <c r="K7" s="516" t="s">
        <v>134</v>
      </c>
      <c r="L7" s="517"/>
      <c r="M7" s="517"/>
      <c r="N7" s="511">
        <f>1!H31</f>
        <v>0</v>
      </c>
      <c r="O7" s="512"/>
      <c r="P7" s="79" t="s">
        <v>325</v>
      </c>
      <c r="Q7" s="511">
        <f>IF(1!H32="","",1!H32)</f>
      </c>
      <c r="R7" s="512"/>
      <c r="S7" s="77" t="str">
        <f>IF(AP5="","","a")</f>
        <v>a</v>
      </c>
      <c r="T7" s="511">
        <f>IF(1!H33="","",1!H33)</f>
      </c>
      <c r="U7" s="512"/>
      <c r="V7" s="77">
        <f>IF(AS5="","","a")</f>
      </c>
      <c r="W7" s="511">
        <f>IF(1!H34="","",1!H34)</f>
      </c>
      <c r="X7" s="512"/>
      <c r="Y7" s="79">
        <f>IF(AV5="","","a")</f>
      </c>
      <c r="Z7" s="512">
        <f>IF(1!H35="","",1!H35)</f>
      </c>
      <c r="AA7" s="512"/>
      <c r="AB7" s="79">
        <f>IF(AY5="","","a")</f>
      </c>
      <c r="AC7" s="541"/>
      <c r="AD7" s="541"/>
      <c r="AE7" s="78">
        <f>IF(BB5="","","a")</f>
      </c>
      <c r="AH7" s="30"/>
      <c r="AI7" s="338"/>
      <c r="AJ7" s="532"/>
      <c r="AK7" s="542"/>
      <c r="AL7" s="543"/>
      <c r="AM7" s="76"/>
      <c r="AN7" s="77"/>
      <c r="AO7" s="77"/>
      <c r="AP7" s="76"/>
      <c r="AQ7" s="77"/>
      <c r="AR7" s="77"/>
      <c r="AS7" s="76"/>
      <c r="AT7" s="77"/>
      <c r="AU7" s="79"/>
      <c r="AV7" s="77"/>
      <c r="AW7" s="77"/>
      <c r="AX7" s="79"/>
      <c r="AY7" s="77"/>
      <c r="AZ7" s="77"/>
      <c r="BA7" s="79"/>
      <c r="BB7" s="77"/>
      <c r="BC7" s="77"/>
      <c r="BD7" s="78"/>
    </row>
    <row r="8" spans="1:56" ht="15" customHeight="1">
      <c r="A8" s="353">
        <f>IF(B8="","",2)</f>
        <v>2</v>
      </c>
      <c r="B8" s="562" t="str">
        <f>Q5</f>
        <v>サトウキビ(夏)</v>
      </c>
      <c r="C8" s="562"/>
      <c r="D8" s="562"/>
      <c r="E8" s="563">
        <f>Q13</f>
      </c>
      <c r="F8" s="557"/>
      <c r="G8" s="557"/>
      <c r="H8" s="481" t="str">
        <f>IF(B8="","","円")</f>
        <v>円</v>
      </c>
      <c r="I8" s="30"/>
      <c r="J8" s="64">
        <v>2</v>
      </c>
      <c r="K8" s="564" t="s">
        <v>136</v>
      </c>
      <c r="L8" s="565"/>
      <c r="M8" s="565"/>
      <c r="N8" s="563">
        <f>AM8</f>
        <v>5000</v>
      </c>
      <c r="O8" s="557"/>
      <c r="P8" s="68" t="s">
        <v>338</v>
      </c>
      <c r="Q8" s="563">
        <f>IF(AP8="","",AP8)</f>
        <v>4450</v>
      </c>
      <c r="R8" s="557"/>
      <c r="S8" s="74" t="str">
        <f>IF(AQ8="","",AQ8)</f>
        <v>kg</v>
      </c>
      <c r="T8" s="563">
        <f>IF(AS8="","",AS8)</f>
      </c>
      <c r="U8" s="557"/>
      <c r="V8" s="74">
        <f>IF(AT8="","",AT8)</f>
      </c>
      <c r="W8" s="563">
        <f>IF(AV8="","",AV8)</f>
      </c>
      <c r="X8" s="557"/>
      <c r="Y8" s="68">
        <f>IF(AW8="","",AW8)</f>
      </c>
      <c r="Z8" s="557">
        <f>IF(AY8="","",AY8)</f>
      </c>
      <c r="AA8" s="557"/>
      <c r="AB8" s="68">
        <f>IF(AZ8="","",AZ8)</f>
      </c>
      <c r="AC8" s="557">
        <f>IF(BB8="","",BB8)</f>
      </c>
      <c r="AD8" s="557"/>
      <c r="AE8" s="59">
        <f>IF(BC8="","",BC8)</f>
      </c>
      <c r="AH8" s="30"/>
      <c r="AI8" s="340">
        <v>1</v>
      </c>
      <c r="AJ8" s="566" t="s">
        <v>136</v>
      </c>
      <c r="AK8" s="567"/>
      <c r="AL8" s="568"/>
      <c r="AM8" s="351">
        <f>HLOOKUP(AM4,'経営指標'!$D$3:$M$22,2,1)</f>
        <v>5000</v>
      </c>
      <c r="AN8" s="555" t="s">
        <v>564</v>
      </c>
      <c r="AO8" s="556"/>
      <c r="AP8" s="351">
        <f>IF($AP$5="","",HLOOKUP(AP4,'経営指標'!$D$3:$M$22,2,1))</f>
        <v>4450</v>
      </c>
      <c r="AQ8" s="555" t="str">
        <f>IF(AP5="","","kg")</f>
        <v>kg</v>
      </c>
      <c r="AR8" s="556"/>
      <c r="AS8" s="351">
        <f>IF($AS$5="","",HLOOKUP(AS4,'経営指標'!$D$3:$M$22,2,1))</f>
      </c>
      <c r="AT8" s="555">
        <f>IF(AS5="","","kg")</f>
      </c>
      <c r="AU8" s="556"/>
      <c r="AV8" s="351">
        <f>IF($AV$5="","",HLOOKUP(AV4,'経営指標'!$D$3:$M$22,2,1))</f>
      </c>
      <c r="AW8" s="555">
        <f>IF(AV5="","","kg")</f>
      </c>
      <c r="AX8" s="556"/>
      <c r="AY8" s="351">
        <f>IF($AY$5="","",HLOOKUP(AY4,'経営指標'!$D$3:$M$22,2,1))</f>
      </c>
      <c r="AZ8" s="555">
        <f>IF(AY5="","","kg")</f>
      </c>
      <c r="BA8" s="556"/>
      <c r="BB8" s="351">
        <f>IF($BB$5="","",HLOOKUP(BB4,'経営指標'!$D$3:$M$22,2,1))</f>
      </c>
      <c r="BC8" s="555">
        <f>IF(BB5="","","kg")</f>
      </c>
      <c r="BD8" s="573"/>
    </row>
    <row r="9" spans="1:56" ht="15" customHeight="1">
      <c r="A9" s="353">
        <f>IF(B9="","",3)</f>
      </c>
      <c r="B9" s="562">
        <f>T5</f>
      </c>
      <c r="C9" s="562"/>
      <c r="D9" s="562"/>
      <c r="E9" s="563">
        <f>T13</f>
      </c>
      <c r="F9" s="557"/>
      <c r="G9" s="557"/>
      <c r="H9" s="481">
        <f>IF(B9="","","円")</f>
      </c>
      <c r="I9" s="30"/>
      <c r="J9" s="64">
        <v>3</v>
      </c>
      <c r="K9" s="574" t="s">
        <v>137</v>
      </c>
      <c r="L9" s="575"/>
      <c r="M9" s="575"/>
      <c r="N9" s="563">
        <f>ROUNDDOWN(N7*N8/10,0)</f>
        <v>0</v>
      </c>
      <c r="O9" s="557"/>
      <c r="P9" s="68" t="s">
        <v>338</v>
      </c>
      <c r="Q9" s="563">
        <f>IF(Q7="","",ROUNDDOWN(Q7*Q8/10,0))</f>
      </c>
      <c r="R9" s="557"/>
      <c r="S9" s="74" t="str">
        <f>IF(AQ9="","",AQ9)</f>
        <v>kg</v>
      </c>
      <c r="T9" s="563">
        <f>IF(T7="","",ROUNDDOWN(T7*T8/10,0))</f>
      </c>
      <c r="U9" s="557"/>
      <c r="V9" s="74">
        <f>IF(AT9="","",AT9)</f>
      </c>
      <c r="W9" s="563">
        <f>IF(W7="","",ROUNDDOWN(W7*W8/10,0))</f>
      </c>
      <c r="X9" s="557"/>
      <c r="Y9" s="68">
        <f>IF(AW9="","",AW9)</f>
      </c>
      <c r="Z9" s="557">
        <f>IF(Z7="","",ROUNDDOWN(Z7*Z8/10,0))</f>
      </c>
      <c r="AA9" s="557"/>
      <c r="AB9" s="68">
        <f>IF(AZ9="","",AZ9)</f>
      </c>
      <c r="AC9" s="557">
        <f>IF(AC7="","",ROUNDDOWN(AC7*AC8/10,0))</f>
      </c>
      <c r="AD9" s="557"/>
      <c r="AE9" s="59">
        <f>IF(BC9="","",BC9)</f>
      </c>
      <c r="AH9" s="30"/>
      <c r="AI9" s="340">
        <v>2</v>
      </c>
      <c r="AJ9" s="569" t="s">
        <v>137</v>
      </c>
      <c r="AK9" s="570"/>
      <c r="AL9" s="571"/>
      <c r="AM9" s="57">
        <f>AM8</f>
        <v>5000</v>
      </c>
      <c r="AN9" s="559" t="str">
        <f>AN8</f>
        <v>kg</v>
      </c>
      <c r="AO9" s="572" t="s">
        <v>613</v>
      </c>
      <c r="AP9" s="57">
        <f>IF(AP8="","",AP8)</f>
        <v>4450</v>
      </c>
      <c r="AQ9" s="559" t="str">
        <f>IF($AP5="","",AQ8)</f>
        <v>kg</v>
      </c>
      <c r="AR9" s="572" t="s">
        <v>613</v>
      </c>
      <c r="AS9" s="57">
        <f>IF(AS8="","",AS8)</f>
      </c>
      <c r="AT9" s="559">
        <f>IF(AS5="","",AT8)</f>
      </c>
      <c r="AU9" s="560" t="s">
        <v>613</v>
      </c>
      <c r="AV9" s="58">
        <f>IF(AV8="","",AV8)</f>
      </c>
      <c r="AW9" s="559">
        <f>IF(AV5="","",AW8)</f>
      </c>
      <c r="AX9" s="560" t="s">
        <v>613</v>
      </c>
      <c r="AY9" s="58">
        <f>IF(AY8="","",AY8)</f>
      </c>
      <c r="AZ9" s="559">
        <f>IF(AY5="","",AZ8)</f>
      </c>
      <c r="BA9" s="560" t="s">
        <v>613</v>
      </c>
      <c r="BB9" s="58">
        <f>IF(BB8="","",BB8)</f>
      </c>
      <c r="BC9" s="559">
        <f>IF(BB5="","",BC8)</f>
      </c>
      <c r="BD9" s="561" t="s">
        <v>613</v>
      </c>
    </row>
    <row r="10" spans="1:56" ht="15" customHeight="1">
      <c r="A10" s="353">
        <f>IF(B10="","",4)</f>
      </c>
      <c r="B10" s="562">
        <f>W5</f>
      </c>
      <c r="C10" s="562"/>
      <c r="D10" s="562"/>
      <c r="E10" s="563">
        <f>W13</f>
      </c>
      <c r="F10" s="557"/>
      <c r="G10" s="557"/>
      <c r="H10" s="481">
        <f>IF(B10="","","円")</f>
      </c>
      <c r="I10" s="30"/>
      <c r="J10" s="64">
        <v>4</v>
      </c>
      <c r="K10" s="574" t="s">
        <v>138</v>
      </c>
      <c r="L10" s="575"/>
      <c r="M10" s="575"/>
      <c r="N10" s="576">
        <f>AM10</f>
        <v>22.5</v>
      </c>
      <c r="O10" s="577"/>
      <c r="P10" s="68" t="s">
        <v>371</v>
      </c>
      <c r="Q10" s="576">
        <f>IF(AP10="","",AP10)</f>
        <v>22.5</v>
      </c>
      <c r="R10" s="577"/>
      <c r="S10" s="472" t="str">
        <f>IF(AQ10="","",AQ10)</f>
        <v>円</v>
      </c>
      <c r="T10" s="563">
        <f>IF(AS10="","",AS10)</f>
      </c>
      <c r="U10" s="557"/>
      <c r="V10" s="472">
        <f>IF(AT10="","",AT10)</f>
      </c>
      <c r="W10" s="563">
        <f>IF(AV10="","",AV10)</f>
      </c>
      <c r="X10" s="557"/>
      <c r="Y10" s="470">
        <f>IF(AW10="","",AW10)</f>
      </c>
      <c r="Z10" s="557">
        <f>IF(AY10="","",AY10)</f>
      </c>
      <c r="AA10" s="557"/>
      <c r="AB10" s="470">
        <f>IF(AZ10="","",AZ10)</f>
      </c>
      <c r="AC10" s="557">
        <f>IF(BB10="","",BB10)</f>
      </c>
      <c r="AD10" s="557"/>
      <c r="AE10" s="471">
        <f>IF(BC10="","",BC10)</f>
      </c>
      <c r="AH10" s="30"/>
      <c r="AI10" s="340">
        <v>3</v>
      </c>
      <c r="AJ10" s="569" t="s">
        <v>138</v>
      </c>
      <c r="AK10" s="570"/>
      <c r="AL10" s="571"/>
      <c r="AM10" s="352">
        <f>HLOOKUP(AM4,'経営指標'!$D$3:$M$22,3,1)</f>
        <v>22.5</v>
      </c>
      <c r="AN10" s="559" t="s">
        <v>610</v>
      </c>
      <c r="AO10" s="572" t="s">
        <v>610</v>
      </c>
      <c r="AP10" s="351">
        <f>IF(AP$5="","",HLOOKUP(AP$4,'経営指標'!$D$3:$M$22,3,1))</f>
        <v>22.5</v>
      </c>
      <c r="AQ10" s="559" t="str">
        <f>IF($AP$5="","","円")</f>
        <v>円</v>
      </c>
      <c r="AR10" s="572" t="s">
        <v>610</v>
      </c>
      <c r="AS10" s="351">
        <f>IF(AS$5="","",HLOOKUP(AS$4,'経営指標'!$D$3:$M$22,3,1))</f>
      </c>
      <c r="AT10" s="559">
        <f>IF($AS$5="","","円")</f>
      </c>
      <c r="AU10" s="560" t="s">
        <v>610</v>
      </c>
      <c r="AV10" s="351">
        <f>IF(AV$5="","",HLOOKUP(AV$4,'経営指標'!$D$3:$M$22,3,1))</f>
      </c>
      <c r="AW10" s="559">
        <f>IF($AV$5="","","円")</f>
      </c>
      <c r="AX10" s="560" t="s">
        <v>610</v>
      </c>
      <c r="AY10" s="351">
        <f>IF(AY$5="","",HLOOKUP(AY$4,'経営指標'!$D$3:$M$22,3,1))</f>
      </c>
      <c r="AZ10" s="559">
        <f>IF($AY$5="","","円")</f>
      </c>
      <c r="BA10" s="560" t="s">
        <v>610</v>
      </c>
      <c r="BB10" s="351">
        <f>IF(BB$5="","",HLOOKUP(BB$4,'経営指標'!$D$3:$M$22,3,1))</f>
      </c>
      <c r="BC10" s="559">
        <f>IF($BB$5="","","円")</f>
      </c>
      <c r="BD10" s="561" t="s">
        <v>610</v>
      </c>
    </row>
    <row r="11" spans="1:56" ht="15" customHeight="1">
      <c r="A11" s="353">
        <f>IF(B11="","",5)</f>
      </c>
      <c r="B11" s="562">
        <f>Z5</f>
      </c>
      <c r="C11" s="562"/>
      <c r="D11" s="562"/>
      <c r="E11" s="563">
        <f>Z13</f>
      </c>
      <c r="F11" s="557"/>
      <c r="G11" s="557"/>
      <c r="H11" s="481">
        <f>IF(B11="","","円")</f>
      </c>
      <c r="I11" s="30"/>
      <c r="J11" s="64">
        <v>5</v>
      </c>
      <c r="K11" s="574" t="s">
        <v>139</v>
      </c>
      <c r="L11" s="575"/>
      <c r="M11" s="575"/>
      <c r="N11" s="563">
        <f>ROUNDDOWN(N9*N10,0)</f>
        <v>0</v>
      </c>
      <c r="O11" s="557"/>
      <c r="P11" s="68" t="s">
        <v>371</v>
      </c>
      <c r="Q11" s="563">
        <f>IF(Q9="","",ROUNDDOWN(Q9*Q10,0))</f>
      </c>
      <c r="R11" s="557"/>
      <c r="S11" s="472" t="str">
        <f>IF(AQ11="","",AQ11)</f>
        <v>円</v>
      </c>
      <c r="T11" s="563">
        <f>IF(T9="","",ROUNDDOWN(T9*T10,0))</f>
      </c>
      <c r="U11" s="557"/>
      <c r="V11" s="472">
        <f>IF(AT11="","",AT11)</f>
      </c>
      <c r="W11" s="563">
        <f>IF(W9="","",ROUNDDOWN(W9*W10,0))</f>
      </c>
      <c r="X11" s="557"/>
      <c r="Y11" s="470">
        <f>IF(AW11="","",AW11)</f>
      </c>
      <c r="Z11" s="557">
        <f>IF(Z9="","",ROUNDDOWN(Z9*Z10,0))</f>
      </c>
      <c r="AA11" s="557"/>
      <c r="AB11" s="470">
        <f>IF(AZ11="","",AZ11)</f>
      </c>
      <c r="AC11" s="557">
        <f>IF(AC9="","",ROUNDDOWN(AC9*AC10,0))</f>
      </c>
      <c r="AD11" s="557"/>
      <c r="AE11" s="471">
        <f>IF(BC11="","",BC11)</f>
      </c>
      <c r="AH11" s="30"/>
      <c r="AI11" s="340">
        <v>4</v>
      </c>
      <c r="AJ11" s="569" t="s">
        <v>139</v>
      </c>
      <c r="AK11" s="570"/>
      <c r="AL11" s="571"/>
      <c r="AM11" s="57">
        <f>AM9*AM10</f>
        <v>112500</v>
      </c>
      <c r="AN11" s="559" t="s">
        <v>610</v>
      </c>
      <c r="AO11" s="572" t="s">
        <v>614</v>
      </c>
      <c r="AP11" s="57">
        <f>IF(AP8="","",AP9*AP10)</f>
        <v>100125</v>
      </c>
      <c r="AQ11" s="559" t="str">
        <f>IF($AP$5="","","円")</f>
        <v>円</v>
      </c>
      <c r="AR11" s="572" t="s">
        <v>612</v>
      </c>
      <c r="AS11" s="57">
        <f>IF(AS8="","",AS9*AS10)</f>
      </c>
      <c r="AT11" s="559">
        <f>IF($AS$5="","","円")</f>
      </c>
      <c r="AU11" s="560" t="s">
        <v>612</v>
      </c>
      <c r="AV11" s="58">
        <f>IF(AV8="","",AV9*AV10)</f>
      </c>
      <c r="AW11" s="559">
        <f>IF($AV$5="","","円")</f>
      </c>
      <c r="AX11" s="560" t="s">
        <v>612</v>
      </c>
      <c r="AY11" s="58">
        <f>IF(AY8="","",AY9*AY10)</f>
      </c>
      <c r="AZ11" s="559">
        <f>IF($AY$5="","","円")</f>
      </c>
      <c r="BA11" s="560" t="s">
        <v>612</v>
      </c>
      <c r="BB11" s="58">
        <f>IF(BB8="","",BB9*BB10)</f>
      </c>
      <c r="BC11" s="559">
        <f>IF($BB$5="","","円")</f>
      </c>
      <c r="BD11" s="561" t="s">
        <v>612</v>
      </c>
    </row>
    <row r="12" spans="1:56" ht="15" customHeight="1">
      <c r="A12" s="354">
        <f>IF(B12="","",6)</f>
      </c>
      <c r="B12" s="589">
        <f>AC5</f>
      </c>
      <c r="C12" s="589"/>
      <c r="D12" s="589"/>
      <c r="E12" s="581">
        <f>AC13</f>
      </c>
      <c r="F12" s="582"/>
      <c r="G12" s="582"/>
      <c r="H12" s="485">
        <f>IF(B12="","","円")</f>
      </c>
      <c r="I12" s="30"/>
      <c r="J12" s="75"/>
      <c r="K12" s="592"/>
      <c r="L12" s="549"/>
      <c r="M12" s="550"/>
      <c r="N12" s="581"/>
      <c r="O12" s="582"/>
      <c r="P12" s="69"/>
      <c r="Q12" s="581"/>
      <c r="R12" s="582"/>
      <c r="S12" s="475"/>
      <c r="T12" s="581"/>
      <c r="U12" s="582"/>
      <c r="V12" s="475"/>
      <c r="W12" s="581"/>
      <c r="X12" s="582"/>
      <c r="Y12" s="473"/>
      <c r="Z12" s="582"/>
      <c r="AA12" s="582"/>
      <c r="AB12" s="473"/>
      <c r="AC12" s="582"/>
      <c r="AD12" s="582"/>
      <c r="AE12" s="474"/>
      <c r="AH12" s="30"/>
      <c r="AI12" s="339"/>
      <c r="AJ12" s="549"/>
      <c r="AK12" s="549"/>
      <c r="AL12" s="550"/>
      <c r="AM12" s="60"/>
      <c r="AN12" s="578"/>
      <c r="AO12" s="583"/>
      <c r="AP12" s="60"/>
      <c r="AQ12" s="578"/>
      <c r="AR12" s="583"/>
      <c r="AS12" s="60"/>
      <c r="AT12" s="578"/>
      <c r="AU12" s="579"/>
      <c r="AV12" s="61"/>
      <c r="AW12" s="578"/>
      <c r="AX12" s="579"/>
      <c r="AY12" s="61"/>
      <c r="AZ12" s="578"/>
      <c r="BA12" s="579"/>
      <c r="BB12" s="61"/>
      <c r="BC12" s="578"/>
      <c r="BD12" s="580"/>
    </row>
    <row r="13" spans="1:56" ht="15" customHeight="1">
      <c r="A13" s="584" t="s">
        <v>372</v>
      </c>
      <c r="B13" s="585"/>
      <c r="C13" s="585"/>
      <c r="D13" s="585"/>
      <c r="E13" s="586">
        <f>SUM(E7:G12)</f>
        <v>0</v>
      </c>
      <c r="F13" s="587"/>
      <c r="G13" s="587"/>
      <c r="H13" s="477" t="s">
        <v>610</v>
      </c>
      <c r="I13" s="30"/>
      <c r="J13" s="520" t="s">
        <v>140</v>
      </c>
      <c r="K13" s="521"/>
      <c r="L13" s="521"/>
      <c r="M13" s="521"/>
      <c r="N13" s="586">
        <f>SUM(N11:O12)</f>
        <v>0</v>
      </c>
      <c r="O13" s="587"/>
      <c r="P13" s="70" t="s">
        <v>371</v>
      </c>
      <c r="Q13" s="586">
        <f>IF(Q11="","",Q11+Q12)</f>
      </c>
      <c r="R13" s="587"/>
      <c r="S13" s="476" t="str">
        <f>IF(AQ13="","",AQ13)</f>
        <v>円</v>
      </c>
      <c r="T13" s="586">
        <f>IF(T11="","",T11+T12)</f>
      </c>
      <c r="U13" s="587"/>
      <c r="V13" s="476">
        <f>IF(AT13="","",AT13)</f>
      </c>
      <c r="W13" s="586">
        <f>IF(W11="","",W11+W12)</f>
      </c>
      <c r="X13" s="587"/>
      <c r="Y13" s="478">
        <f>IF(AW13="","",AW13)</f>
      </c>
      <c r="Z13" s="587">
        <f>IF(Z11="","",Z11+Z12)</f>
      </c>
      <c r="AA13" s="587"/>
      <c r="AB13" s="478">
        <f>IF(AZ13="","",AZ13)</f>
      </c>
      <c r="AC13" s="587">
        <f>IF(AC11="","",AC11+AC12)</f>
      </c>
      <c r="AD13" s="587"/>
      <c r="AE13" s="477">
        <f>IF(BC13="","",BC13)</f>
      </c>
      <c r="AH13" s="30"/>
      <c r="AI13" s="520" t="s">
        <v>140</v>
      </c>
      <c r="AJ13" s="521"/>
      <c r="AK13" s="521"/>
      <c r="AL13" s="521"/>
      <c r="AM13" s="62">
        <f>SUM(AM11)</f>
        <v>112500</v>
      </c>
      <c r="AN13" s="590" t="s">
        <v>610</v>
      </c>
      <c r="AO13" s="591" t="s">
        <v>614</v>
      </c>
      <c r="AP13" s="62">
        <f>IF(AP11="","",AP11)</f>
        <v>100125</v>
      </c>
      <c r="AQ13" s="590" t="str">
        <f>IF($AP$5="","","円")</f>
        <v>円</v>
      </c>
      <c r="AR13" s="591" t="s">
        <v>612</v>
      </c>
      <c r="AS13" s="62">
        <f>IF(AS11="","",AS11)</f>
      </c>
      <c r="AT13" s="590">
        <f>IF($AS$5="","","円")</f>
      </c>
      <c r="AU13" s="599" t="s">
        <v>612</v>
      </c>
      <c r="AV13" s="63">
        <f>IF(AV11="","",AV11)</f>
      </c>
      <c r="AW13" s="590">
        <f>IF($AV$5="","","円")</f>
      </c>
      <c r="AX13" s="599" t="s">
        <v>612</v>
      </c>
      <c r="AY13" s="63">
        <f>IF(AY11="","",AY11)</f>
      </c>
      <c r="AZ13" s="590">
        <f>IF($AY$5="","","円")</f>
      </c>
      <c r="BA13" s="599" t="s">
        <v>612</v>
      </c>
      <c r="BB13" s="63">
        <f>IF(BB11="","",BB11)</f>
      </c>
      <c r="BC13" s="590">
        <f>IF($BB$5="","","円")</f>
      </c>
      <c r="BD13" s="593" t="s">
        <v>612</v>
      </c>
    </row>
    <row r="14" spans="1:56" ht="15" customHeight="1">
      <c r="A14" s="28"/>
      <c r="B14" s="28"/>
      <c r="C14" s="28"/>
      <c r="D14" s="28"/>
      <c r="E14" s="28"/>
      <c r="F14" s="28"/>
      <c r="G14" s="28"/>
      <c r="H14" s="28"/>
      <c r="I14" s="30"/>
      <c r="J14" s="30"/>
      <c r="K14" s="30"/>
      <c r="L14" s="30"/>
      <c r="M14" s="30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30"/>
      <c r="AC14" s="28"/>
      <c r="AD14" s="28"/>
      <c r="AE14" s="28"/>
      <c r="AH14" s="30"/>
      <c r="AI14" s="30"/>
      <c r="AJ14" s="30"/>
      <c r="AK14" s="30"/>
      <c r="AL14" s="30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</row>
    <row r="15" spans="1:56" ht="15" customHeight="1">
      <c r="A15" s="594" t="s">
        <v>373</v>
      </c>
      <c r="B15" s="595"/>
      <c r="C15" s="595"/>
      <c r="D15" s="595"/>
      <c r="E15" s="595"/>
      <c r="F15" s="595"/>
      <c r="G15" s="595"/>
      <c r="H15" s="596"/>
      <c r="I15" s="30"/>
      <c r="J15" s="66"/>
      <c r="K15" s="66"/>
      <c r="L15" s="66"/>
      <c r="M15" s="66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H15" s="30"/>
      <c r="AI15" s="66"/>
      <c r="AJ15" s="66"/>
      <c r="AK15" s="66"/>
      <c r="AL15" s="66"/>
      <c r="AM15" s="588"/>
      <c r="AN15" s="588"/>
      <c r="AO15" s="588"/>
      <c r="AP15" s="588"/>
      <c r="AQ15" s="588"/>
      <c r="AR15" s="588"/>
      <c r="AS15" s="588"/>
      <c r="AT15" s="588"/>
      <c r="AU15" s="588"/>
      <c r="AV15" s="588"/>
      <c r="AW15" s="588"/>
      <c r="AX15" s="588"/>
      <c r="AY15" s="588"/>
      <c r="AZ15" s="588"/>
      <c r="BA15" s="588"/>
      <c r="BB15" s="588"/>
      <c r="BC15" s="588"/>
      <c r="BD15" s="588"/>
    </row>
    <row r="16" spans="1:56" ht="15" customHeight="1">
      <c r="A16" s="614" t="s">
        <v>374</v>
      </c>
      <c r="B16" s="615"/>
      <c r="C16" s="615"/>
      <c r="D16" s="616"/>
      <c r="E16" s="617" t="s">
        <v>351</v>
      </c>
      <c r="F16" s="618"/>
      <c r="G16" s="618"/>
      <c r="H16" s="619"/>
      <c r="I16" s="30"/>
      <c r="J16" s="610" t="s">
        <v>141</v>
      </c>
      <c r="K16" s="611"/>
      <c r="L16" s="611"/>
      <c r="M16" s="612"/>
      <c r="N16" s="602" t="s">
        <v>351</v>
      </c>
      <c r="O16" s="602"/>
      <c r="P16" s="602"/>
      <c r="Q16" s="597">
        <f>IF(Q13="","","金額")</f>
      </c>
      <c r="R16" s="597"/>
      <c r="S16" s="597"/>
      <c r="T16" s="597">
        <f>IF(T13="","","金額")</f>
      </c>
      <c r="U16" s="597"/>
      <c r="V16" s="597"/>
      <c r="W16" s="597">
        <f>IF(W13="","","金額")</f>
      </c>
      <c r="X16" s="597"/>
      <c r="Y16" s="597"/>
      <c r="Z16" s="597">
        <f>IF(Z13="","","金額")</f>
      </c>
      <c r="AA16" s="597"/>
      <c r="AB16" s="597"/>
      <c r="AC16" s="597">
        <f>IF(AC13="","","金額")</f>
      </c>
      <c r="AD16" s="597"/>
      <c r="AE16" s="598"/>
      <c r="AH16" s="30"/>
      <c r="AI16" s="610" t="s">
        <v>141</v>
      </c>
      <c r="AJ16" s="611"/>
      <c r="AK16" s="611"/>
      <c r="AL16" s="612"/>
      <c r="AM16" s="597" t="s">
        <v>41</v>
      </c>
      <c r="AN16" s="597"/>
      <c r="AO16" s="597"/>
      <c r="AP16" s="597" t="str">
        <f>IF(AP13="","","金額")</f>
        <v>金額</v>
      </c>
      <c r="AQ16" s="597"/>
      <c r="AR16" s="597"/>
      <c r="AS16" s="597">
        <f>IF(AS13="","","金額")</f>
      </c>
      <c r="AT16" s="597"/>
      <c r="AU16" s="597"/>
      <c r="AV16" s="597">
        <f>IF(AV13="","","金額")</f>
      </c>
      <c r="AW16" s="597"/>
      <c r="AX16" s="597"/>
      <c r="AY16" s="597">
        <f>IF(AY13="","","金額")</f>
      </c>
      <c r="AZ16" s="597"/>
      <c r="BA16" s="597"/>
      <c r="BB16" s="597">
        <f>IF(BB13="","","金額")</f>
      </c>
      <c r="BC16" s="597"/>
      <c r="BD16" s="598"/>
    </row>
    <row r="17" spans="1:56" ht="15" customHeight="1">
      <c r="A17" s="65">
        <v>1</v>
      </c>
      <c r="B17" s="516" t="s">
        <v>142</v>
      </c>
      <c r="C17" s="517"/>
      <c r="D17" s="517"/>
      <c r="E17" s="608">
        <f aca="true" t="shared" si="0" ref="E17:E33">SUM(N17:AD17)</f>
        <v>0</v>
      </c>
      <c r="F17" s="609"/>
      <c r="G17" s="609"/>
      <c r="H17" s="480" t="s">
        <v>610</v>
      </c>
      <c r="I17" s="30"/>
      <c r="J17" s="65">
        <v>1</v>
      </c>
      <c r="K17" s="516" t="s">
        <v>142</v>
      </c>
      <c r="L17" s="517"/>
      <c r="M17" s="517"/>
      <c r="N17" s="514">
        <f>ROUNDDOWN($N$7*0.1*AM17,0)</f>
        <v>0</v>
      </c>
      <c r="O17" s="515"/>
      <c r="P17" s="67" t="s">
        <v>371</v>
      </c>
      <c r="Q17" s="514">
        <f>IF(Q$7="","",ROUNDDOWN($Q$7*0.1*AP17,0))</f>
      </c>
      <c r="R17" s="515"/>
      <c r="S17" s="482" t="str">
        <f>IF(AQ17="","",AQ17)</f>
        <v>円</v>
      </c>
      <c r="T17" s="514">
        <f>IF(T$7="","",ROUNDDOWN(T$7*0.1*AS17,0))</f>
      </c>
      <c r="U17" s="515"/>
      <c r="V17" s="482">
        <f>IF(AT17="","",AT17)</f>
      </c>
      <c r="W17" s="514">
        <f>IF(W$7="","",ROUNDDOWN(W$7*0.1*AV17,0))</f>
      </c>
      <c r="X17" s="515"/>
      <c r="Y17" s="479">
        <f>IF(AW17="","",AW17)</f>
      </c>
      <c r="Z17" s="515">
        <f>IF(Z$7="","",ROUNDDOWN(Z$7*0.1*AY17,0))</f>
      </c>
      <c r="AA17" s="515"/>
      <c r="AB17" s="479">
        <f>IF(AZ17="","",AZ17)</f>
      </c>
      <c r="AC17" s="515">
        <f>IF(AC$7="","",ROUNDDOWN(AC$7*0.1*BB17,0))</f>
      </c>
      <c r="AD17" s="515"/>
      <c r="AE17" s="480">
        <f>IF(BC17="","",BC17)</f>
      </c>
      <c r="AH17" s="30"/>
      <c r="AI17" s="65">
        <v>1</v>
      </c>
      <c r="AJ17" s="516" t="s">
        <v>142</v>
      </c>
      <c r="AK17" s="517"/>
      <c r="AL17" s="517"/>
      <c r="AM17" s="349">
        <f>HLOOKUP(AM4,'経営指標'!$D$3:$M$22,4,1)</f>
        <v>6000</v>
      </c>
      <c r="AN17" s="600" t="s">
        <v>610</v>
      </c>
      <c r="AO17" s="613"/>
      <c r="AP17" s="349">
        <f>IF(AP$5="","",HLOOKUP(AP$4,'経営指標'!$D$3:$M$22,4,1))</f>
        <v>5000</v>
      </c>
      <c r="AQ17" s="600" t="str">
        <f>IF($AP$5="","","円")</f>
        <v>円</v>
      </c>
      <c r="AR17" s="613"/>
      <c r="AS17" s="349">
        <f>IF(AS$5="","",HLOOKUP(AS$4,'経営指標'!$D$3:$M$22,4,1))</f>
      </c>
      <c r="AT17" s="600">
        <f aca="true" t="shared" si="1" ref="AT17:AT35">IF($AS$5="","","円")</f>
      </c>
      <c r="AU17" s="601"/>
      <c r="AV17" s="349">
        <f>IF(AV$5="","",HLOOKUP(AV$4,'経営指標'!$D$3:$M$22,4,1))</f>
      </c>
      <c r="AW17" s="600">
        <f aca="true" t="shared" si="2" ref="AW17:AW35">IF($AV$5="","","円")</f>
      </c>
      <c r="AX17" s="601"/>
      <c r="AY17" s="349">
        <f>IF(AY$5="","",HLOOKUP(AY$4,'経営指標'!$D$3:$M$22,4,1))</f>
      </c>
      <c r="AZ17" s="600">
        <f aca="true" t="shared" si="3" ref="AZ17:AZ35">IF($AY$5="","","円")</f>
      </c>
      <c r="BA17" s="601"/>
      <c r="BB17" s="349">
        <f>IF(BB$5="","",HLOOKUP(BB$4,'経営指標'!$D$3:$M$22,4,1))</f>
      </c>
      <c r="BC17" s="600">
        <f aca="true" t="shared" si="4" ref="BC17:BC35">IF($BB$5="","","円")</f>
      </c>
      <c r="BD17" s="603"/>
    </row>
    <row r="18" spans="1:56" ht="15" customHeight="1">
      <c r="A18" s="64">
        <v>2</v>
      </c>
      <c r="B18" s="574" t="s">
        <v>625</v>
      </c>
      <c r="C18" s="575"/>
      <c r="D18" s="575"/>
      <c r="E18" s="604">
        <f t="shared" si="0"/>
        <v>0</v>
      </c>
      <c r="F18" s="605"/>
      <c r="G18" s="605"/>
      <c r="H18" s="471" t="s">
        <v>610</v>
      </c>
      <c r="I18" s="30"/>
      <c r="J18" s="64">
        <v>2</v>
      </c>
      <c r="K18" s="574" t="s">
        <v>626</v>
      </c>
      <c r="L18" s="575"/>
      <c r="M18" s="575"/>
      <c r="N18" s="563">
        <f>ROUNDDOWN($N$7*0.1*AM18,0)</f>
        <v>0</v>
      </c>
      <c r="O18" s="557"/>
      <c r="P18" s="68" t="s">
        <v>371</v>
      </c>
      <c r="Q18" s="563">
        <f aca="true" t="shared" si="5" ref="Q18:Q33">IF(Q$7="","",ROUNDDOWN($Q$7*0.1*AP18,0))</f>
      </c>
      <c r="R18" s="557"/>
      <c r="S18" s="472" t="str">
        <f aca="true" t="shared" si="6" ref="S18:S35">IF(AQ18="","",AQ18)</f>
        <v>円</v>
      </c>
      <c r="T18" s="563">
        <f aca="true" t="shared" si="7" ref="T18:T33">IF(T$7="","",ROUNDDOWN(T$7*0.1*AS18,0))</f>
      </c>
      <c r="U18" s="557"/>
      <c r="V18" s="472">
        <f aca="true" t="shared" si="8" ref="V18:V35">IF(AT18="","",AT18)</f>
      </c>
      <c r="W18" s="563">
        <f aca="true" t="shared" si="9" ref="W18:W33">IF(W$7="","",ROUNDDOWN(W$7*0.1*AV18,0))</f>
      </c>
      <c r="X18" s="557"/>
      <c r="Y18" s="470">
        <f aca="true" t="shared" si="10" ref="Y18:Y35">IF(AW18="","",AW18)</f>
      </c>
      <c r="Z18" s="557">
        <f aca="true" t="shared" si="11" ref="Z18:Z33">IF(Z$7="","",ROUNDDOWN(Z$7*0.1*AY18,0))</f>
      </c>
      <c r="AA18" s="557"/>
      <c r="AB18" s="470">
        <f aca="true" t="shared" si="12" ref="AB18:AB35">IF(AZ18="","",AZ18)</f>
      </c>
      <c r="AC18" s="557">
        <f aca="true" t="shared" si="13" ref="AC18:AC33">IF(AC$7="","",ROUNDDOWN(AC$7*0.1*BB18,0))</f>
      </c>
      <c r="AD18" s="557"/>
      <c r="AE18" s="471">
        <f aca="true" t="shared" si="14" ref="AE18:AE35">IF(BC18="","",BC18)</f>
      </c>
      <c r="AH18" s="30"/>
      <c r="AI18" s="64">
        <v>2</v>
      </c>
      <c r="AJ18" s="574" t="s">
        <v>627</v>
      </c>
      <c r="AK18" s="575"/>
      <c r="AL18" s="575"/>
      <c r="AM18" s="350">
        <f>HLOOKUP(AM4,'経営指標'!$D$3:$M$22,5,1)</f>
        <v>14824</v>
      </c>
      <c r="AN18" s="559" t="s">
        <v>610</v>
      </c>
      <c r="AO18" s="572"/>
      <c r="AP18" s="350">
        <f>IF(AP$5="","",HLOOKUP(AP$4,'経営指標'!$D$3:$M$22,5,1))</f>
        <v>8557</v>
      </c>
      <c r="AQ18" s="559" t="str">
        <f>IF($AP$5="","","円")</f>
        <v>円</v>
      </c>
      <c r="AR18" s="559"/>
      <c r="AS18" s="350">
        <f>IF(AS$5="","",HLOOKUP(AS$4,'経営指標'!$D$3:$M$22,5,1))</f>
      </c>
      <c r="AT18" s="559">
        <f t="shared" si="1"/>
      </c>
      <c r="AU18" s="607"/>
      <c r="AV18" s="350">
        <f>IF(AV$5="","",HLOOKUP(AV$4,'経営指標'!$D$3:$M$22,5,1))</f>
      </c>
      <c r="AW18" s="559">
        <f t="shared" si="2"/>
      </c>
      <c r="AX18" s="607"/>
      <c r="AY18" s="350">
        <f>IF(AY$5="","",HLOOKUP(AY$4,'経営指標'!$D$3:$M$22,5,1))</f>
      </c>
      <c r="AZ18" s="559">
        <f t="shared" si="3"/>
      </c>
      <c r="BA18" s="607"/>
      <c r="BB18" s="350">
        <f>IF(BB$5="","",HLOOKUP(BB$4,'経営指標'!$D$3:$M$22,5,1))</f>
      </c>
      <c r="BC18" s="559">
        <f t="shared" si="4"/>
      </c>
      <c r="BD18" s="606"/>
    </row>
    <row r="19" spans="1:56" ht="15" customHeight="1">
      <c r="A19" s="64">
        <v>3</v>
      </c>
      <c r="B19" s="574" t="s">
        <v>317</v>
      </c>
      <c r="C19" s="620"/>
      <c r="D19" s="620"/>
      <c r="E19" s="604">
        <f t="shared" si="0"/>
        <v>0</v>
      </c>
      <c r="F19" s="605"/>
      <c r="G19" s="605"/>
      <c r="H19" s="471" t="s">
        <v>610</v>
      </c>
      <c r="I19" s="30"/>
      <c r="J19" s="64">
        <v>3</v>
      </c>
      <c r="K19" s="574" t="s">
        <v>317</v>
      </c>
      <c r="L19" s="620"/>
      <c r="M19" s="620"/>
      <c r="N19" s="563">
        <f>ROUNDDOWN($N$7*0.1*AM19,0)</f>
        <v>0</v>
      </c>
      <c r="O19" s="557"/>
      <c r="P19" s="68" t="s">
        <v>371</v>
      </c>
      <c r="Q19" s="563">
        <f t="shared" si="5"/>
      </c>
      <c r="R19" s="557"/>
      <c r="S19" s="472" t="str">
        <f t="shared" si="6"/>
        <v>円</v>
      </c>
      <c r="T19" s="563">
        <f t="shared" si="7"/>
      </c>
      <c r="U19" s="557"/>
      <c r="V19" s="472">
        <f t="shared" si="8"/>
      </c>
      <c r="W19" s="563">
        <f t="shared" si="9"/>
      </c>
      <c r="X19" s="557"/>
      <c r="Y19" s="470">
        <f t="shared" si="10"/>
      </c>
      <c r="Z19" s="557">
        <f t="shared" si="11"/>
      </c>
      <c r="AA19" s="557"/>
      <c r="AB19" s="470">
        <f t="shared" si="12"/>
      </c>
      <c r="AC19" s="557">
        <f t="shared" si="13"/>
      </c>
      <c r="AD19" s="557"/>
      <c r="AE19" s="471">
        <f t="shared" si="14"/>
      </c>
      <c r="AH19" s="30"/>
      <c r="AI19" s="64">
        <v>3</v>
      </c>
      <c r="AJ19" s="574" t="s">
        <v>317</v>
      </c>
      <c r="AK19" s="623"/>
      <c r="AL19" s="623"/>
      <c r="AM19" s="350">
        <f>HLOOKUP(AM4,'経営指標'!$D$3:$M$22,6,1)</f>
        <v>13117</v>
      </c>
      <c r="AN19" s="559" t="s">
        <v>610</v>
      </c>
      <c r="AO19" s="572"/>
      <c r="AP19" s="350">
        <f>IF(AP$5="","",HLOOKUP(AP$4,'経営指標'!$D$3:$M$22,6,1))</f>
        <v>7119</v>
      </c>
      <c r="AQ19" s="559" t="str">
        <f aca="true" t="shared" si="15" ref="AQ19:AQ34">IF($AP$5="","","円")</f>
        <v>円</v>
      </c>
      <c r="AR19" s="559"/>
      <c r="AS19" s="350">
        <f>IF(AS$5="","",HLOOKUP(AS$4,'経営指標'!$D$3:$M$22,6,1))</f>
      </c>
      <c r="AT19" s="559">
        <f t="shared" si="1"/>
      </c>
      <c r="AU19" s="607"/>
      <c r="AV19" s="350">
        <f>IF(AV$5="","",HLOOKUP(AV$4,'経営指標'!$D$3:$M$22,6,1))</f>
      </c>
      <c r="AW19" s="559">
        <f t="shared" si="2"/>
      </c>
      <c r="AX19" s="607"/>
      <c r="AY19" s="350">
        <f>IF(AY$5="","",HLOOKUP(AY$4,'経営指標'!$D$3:$M$22,6,1))</f>
      </c>
      <c r="AZ19" s="559">
        <f t="shared" si="3"/>
      </c>
      <c r="BA19" s="607"/>
      <c r="BB19" s="350">
        <f>IF(BB$5="","",HLOOKUP(BB$4,'経営指標'!$D$3:$M$22,6,1))</f>
      </c>
      <c r="BC19" s="559">
        <f t="shared" si="4"/>
      </c>
      <c r="BD19" s="606"/>
    </row>
    <row r="20" spans="1:56" ht="15" customHeight="1">
      <c r="A20" s="64">
        <v>4</v>
      </c>
      <c r="B20" s="621" t="s">
        <v>143</v>
      </c>
      <c r="C20" s="622"/>
      <c r="D20" s="622"/>
      <c r="E20" s="604">
        <f t="shared" si="0"/>
        <v>0</v>
      </c>
      <c r="F20" s="605"/>
      <c r="G20" s="605"/>
      <c r="H20" s="471" t="s">
        <v>610</v>
      </c>
      <c r="I20" s="30"/>
      <c r="J20" s="64">
        <v>4</v>
      </c>
      <c r="K20" s="621" t="s">
        <v>143</v>
      </c>
      <c r="L20" s="622"/>
      <c r="M20" s="622"/>
      <c r="N20" s="563">
        <f>ROUNDDOWN($N$7*0.1*AM20,0)</f>
        <v>0</v>
      </c>
      <c r="O20" s="557"/>
      <c r="P20" s="68" t="s">
        <v>371</v>
      </c>
      <c r="Q20" s="563">
        <f t="shared" si="5"/>
      </c>
      <c r="R20" s="557"/>
      <c r="S20" s="472" t="str">
        <f t="shared" si="6"/>
        <v>円</v>
      </c>
      <c r="T20" s="563">
        <f t="shared" si="7"/>
      </c>
      <c r="U20" s="557"/>
      <c r="V20" s="472">
        <f t="shared" si="8"/>
      </c>
      <c r="W20" s="563">
        <f t="shared" si="9"/>
      </c>
      <c r="X20" s="557"/>
      <c r="Y20" s="470">
        <f t="shared" si="10"/>
      </c>
      <c r="Z20" s="557">
        <f t="shared" si="11"/>
      </c>
      <c r="AA20" s="557"/>
      <c r="AB20" s="470">
        <f t="shared" si="12"/>
      </c>
      <c r="AC20" s="557">
        <f t="shared" si="13"/>
      </c>
      <c r="AD20" s="557"/>
      <c r="AE20" s="471">
        <f t="shared" si="14"/>
      </c>
      <c r="AH20" s="30"/>
      <c r="AI20" s="64">
        <v>4</v>
      </c>
      <c r="AJ20" s="621" t="s">
        <v>143</v>
      </c>
      <c r="AK20" s="622"/>
      <c r="AL20" s="622"/>
      <c r="AM20" s="350">
        <f>HLOOKUP(AM4,'経営指標'!$D$3:$M$22,7,1)</f>
        <v>4569</v>
      </c>
      <c r="AN20" s="559" t="s">
        <v>610</v>
      </c>
      <c r="AO20" s="572"/>
      <c r="AP20" s="350">
        <f>IF(AP$5="","",HLOOKUP(AP$4,'経営指標'!$D$3:$M$22,7,1))</f>
        <v>10162</v>
      </c>
      <c r="AQ20" s="559" t="str">
        <f t="shared" si="15"/>
        <v>円</v>
      </c>
      <c r="AR20" s="559"/>
      <c r="AS20" s="350">
        <f>IF(AS$5="","",HLOOKUP(AS$4,'経営指標'!$D$3:$M$22,7,1))</f>
      </c>
      <c r="AT20" s="559">
        <f t="shared" si="1"/>
      </c>
      <c r="AU20" s="607"/>
      <c r="AV20" s="350">
        <f>IF(AV$5="","",HLOOKUP(AV$4,'経営指標'!$D$3:$M$22,7,1))</f>
      </c>
      <c r="AW20" s="559">
        <f t="shared" si="2"/>
      </c>
      <c r="AX20" s="607"/>
      <c r="AY20" s="350">
        <f>IF(AY$5="","",HLOOKUP(AY$4,'経営指標'!$D$3:$M$22,7,1))</f>
      </c>
      <c r="AZ20" s="559">
        <f t="shared" si="3"/>
      </c>
      <c r="BA20" s="607"/>
      <c r="BB20" s="350">
        <f>IF(BB$5="","",HLOOKUP(BB$4,'経営指標'!$D$3:$M$22,7,1))</f>
      </c>
      <c r="BC20" s="559">
        <f t="shared" si="4"/>
      </c>
      <c r="BD20" s="606"/>
    </row>
    <row r="21" spans="1:56" ht="15" customHeight="1">
      <c r="A21" s="64">
        <v>5</v>
      </c>
      <c r="B21" s="621" t="s">
        <v>144</v>
      </c>
      <c r="C21" s="622"/>
      <c r="D21" s="622"/>
      <c r="E21" s="604">
        <f t="shared" si="0"/>
        <v>0</v>
      </c>
      <c r="F21" s="605"/>
      <c r="G21" s="605"/>
      <c r="H21" s="471" t="s">
        <v>610</v>
      </c>
      <c r="I21" s="30"/>
      <c r="J21" s="64">
        <v>5</v>
      </c>
      <c r="K21" s="621" t="s">
        <v>144</v>
      </c>
      <c r="L21" s="622"/>
      <c r="M21" s="622"/>
      <c r="N21" s="563">
        <f>ROUNDDOWN($N$7*0.1*AM21,0)</f>
        <v>0</v>
      </c>
      <c r="O21" s="557"/>
      <c r="P21" s="68" t="s">
        <v>371</v>
      </c>
      <c r="Q21" s="563">
        <f t="shared" si="5"/>
      </c>
      <c r="R21" s="557"/>
      <c r="S21" s="472" t="str">
        <f t="shared" si="6"/>
        <v>円</v>
      </c>
      <c r="T21" s="563">
        <f t="shared" si="7"/>
      </c>
      <c r="U21" s="557"/>
      <c r="V21" s="472">
        <f t="shared" si="8"/>
      </c>
      <c r="W21" s="563">
        <f t="shared" si="9"/>
      </c>
      <c r="X21" s="557"/>
      <c r="Y21" s="470">
        <f t="shared" si="10"/>
      </c>
      <c r="Z21" s="557">
        <f t="shared" si="11"/>
      </c>
      <c r="AA21" s="557"/>
      <c r="AB21" s="470">
        <f t="shared" si="12"/>
      </c>
      <c r="AC21" s="557">
        <f t="shared" si="13"/>
      </c>
      <c r="AD21" s="557"/>
      <c r="AE21" s="471">
        <f t="shared" si="14"/>
      </c>
      <c r="AH21" s="30"/>
      <c r="AI21" s="64">
        <v>5</v>
      </c>
      <c r="AJ21" s="621" t="s">
        <v>144</v>
      </c>
      <c r="AK21" s="622"/>
      <c r="AL21" s="622"/>
      <c r="AM21" s="350">
        <f>HLOOKUP(AM4,'経営指標'!$D$3:$M$22,8,1)</f>
        <v>3461</v>
      </c>
      <c r="AN21" s="559" t="s">
        <v>610</v>
      </c>
      <c r="AO21" s="572"/>
      <c r="AP21" s="350">
        <f>IF(AP$5="","",HLOOKUP(AP$4,'経営指標'!$D$3:$M$22,8,1))</f>
        <v>300</v>
      </c>
      <c r="AQ21" s="559" t="str">
        <f t="shared" si="15"/>
        <v>円</v>
      </c>
      <c r="AR21" s="559"/>
      <c r="AS21" s="350">
        <f>IF(AS$5="","",HLOOKUP(AS$4,'経営指標'!$D$3:$M$22,8,1))</f>
      </c>
      <c r="AT21" s="559">
        <f t="shared" si="1"/>
      </c>
      <c r="AU21" s="607"/>
      <c r="AV21" s="350">
        <f>IF(AV$5="","",HLOOKUP(AV$4,'経営指標'!$D$3:$M$22,8,1))</f>
      </c>
      <c r="AW21" s="559">
        <f t="shared" si="2"/>
      </c>
      <c r="AX21" s="607"/>
      <c r="AY21" s="350">
        <f>IF(AY$5="","",HLOOKUP(AY$4,'経営指標'!$D$3:$M$22,8,1))</f>
      </c>
      <c r="AZ21" s="559">
        <f t="shared" si="3"/>
      </c>
      <c r="BA21" s="607"/>
      <c r="BB21" s="350">
        <f>IF(BB$5="","",HLOOKUP(BB$4,'経営指標'!$D$3:$M$22,8,1))</f>
      </c>
      <c r="BC21" s="559">
        <f t="shared" si="4"/>
      </c>
      <c r="BD21" s="606"/>
    </row>
    <row r="22" spans="1:56" ht="15" customHeight="1">
      <c r="A22" s="64">
        <v>6</v>
      </c>
      <c r="B22" s="621" t="s">
        <v>145</v>
      </c>
      <c r="C22" s="621"/>
      <c r="D22" s="621"/>
      <c r="E22" s="604">
        <f t="shared" si="0"/>
        <v>0</v>
      </c>
      <c r="F22" s="605"/>
      <c r="G22" s="605"/>
      <c r="H22" s="471" t="s">
        <v>610</v>
      </c>
      <c r="I22" s="30"/>
      <c r="J22" s="64">
        <v>6</v>
      </c>
      <c r="K22" s="621" t="s">
        <v>145</v>
      </c>
      <c r="L22" s="621"/>
      <c r="M22" s="621"/>
      <c r="N22" s="563">
        <f aca="true" t="shared" si="16" ref="N22:N29">ROUNDDOWN($N$7*0.1*AM22,0)</f>
        <v>0</v>
      </c>
      <c r="O22" s="557"/>
      <c r="P22" s="68" t="s">
        <v>371</v>
      </c>
      <c r="Q22" s="563">
        <f t="shared" si="5"/>
      </c>
      <c r="R22" s="557"/>
      <c r="S22" s="472" t="str">
        <f t="shared" si="6"/>
        <v>円</v>
      </c>
      <c r="T22" s="563">
        <f t="shared" si="7"/>
      </c>
      <c r="U22" s="557"/>
      <c r="V22" s="472">
        <f t="shared" si="8"/>
      </c>
      <c r="W22" s="563">
        <f t="shared" si="9"/>
      </c>
      <c r="X22" s="557"/>
      <c r="Y22" s="470">
        <f t="shared" si="10"/>
      </c>
      <c r="Z22" s="557">
        <f t="shared" si="11"/>
      </c>
      <c r="AA22" s="557"/>
      <c r="AB22" s="470">
        <f t="shared" si="12"/>
      </c>
      <c r="AC22" s="557">
        <f t="shared" si="13"/>
      </c>
      <c r="AD22" s="557"/>
      <c r="AE22" s="471">
        <f t="shared" si="14"/>
      </c>
      <c r="AH22" s="30"/>
      <c r="AI22" s="64">
        <v>6</v>
      </c>
      <c r="AJ22" s="621" t="s">
        <v>145</v>
      </c>
      <c r="AK22" s="621"/>
      <c r="AL22" s="621"/>
      <c r="AM22" s="350">
        <f>HLOOKUP(AM4,'経営指標'!$D$3:$M$22,9,1)</f>
        <v>1500</v>
      </c>
      <c r="AN22" s="559" t="s">
        <v>610</v>
      </c>
      <c r="AO22" s="572"/>
      <c r="AP22" s="350">
        <f>IF(AP$5="","",HLOOKUP(AP$4,'経営指標'!$D$3:$M$22,9,1))</f>
        <v>1500</v>
      </c>
      <c r="AQ22" s="559" t="str">
        <f t="shared" si="15"/>
        <v>円</v>
      </c>
      <c r="AR22" s="559"/>
      <c r="AS22" s="350">
        <f>IF(AS$5="","",HLOOKUP(AS$4,'経営指標'!$D$3:$M$22,9,1))</f>
      </c>
      <c r="AT22" s="559">
        <f t="shared" si="1"/>
      </c>
      <c r="AU22" s="607"/>
      <c r="AV22" s="350">
        <f>IF(AV$5="","",HLOOKUP(AV$4,'経営指標'!$D$3:$M$22,9,1))</f>
      </c>
      <c r="AW22" s="559">
        <f t="shared" si="2"/>
      </c>
      <c r="AX22" s="607"/>
      <c r="AY22" s="350">
        <f>IF(AY$5="","",HLOOKUP(AY$4,'経営指標'!$D$3:$M$22,9,1))</f>
      </c>
      <c r="AZ22" s="559">
        <f t="shared" si="3"/>
      </c>
      <c r="BA22" s="607"/>
      <c r="BB22" s="350">
        <f>IF(BB$5="","",HLOOKUP(BB$4,'経営指標'!$D$3:$M$22,9,1))</f>
      </c>
      <c r="BC22" s="559">
        <f t="shared" si="4"/>
      </c>
      <c r="BD22" s="606"/>
    </row>
    <row r="23" spans="1:56" ht="15" customHeight="1">
      <c r="A23" s="64">
        <v>7</v>
      </c>
      <c r="B23" s="621" t="s">
        <v>146</v>
      </c>
      <c r="C23" s="621"/>
      <c r="D23" s="621"/>
      <c r="E23" s="604">
        <f t="shared" si="0"/>
        <v>0</v>
      </c>
      <c r="F23" s="605"/>
      <c r="G23" s="605"/>
      <c r="H23" s="471" t="s">
        <v>610</v>
      </c>
      <c r="I23" s="30"/>
      <c r="J23" s="64">
        <v>7</v>
      </c>
      <c r="K23" s="621" t="s">
        <v>146</v>
      </c>
      <c r="L23" s="621"/>
      <c r="M23" s="621"/>
      <c r="N23" s="563">
        <f t="shared" si="16"/>
        <v>0</v>
      </c>
      <c r="O23" s="557"/>
      <c r="P23" s="68" t="s">
        <v>371</v>
      </c>
      <c r="Q23" s="563">
        <f t="shared" si="5"/>
      </c>
      <c r="R23" s="557"/>
      <c r="S23" s="472" t="str">
        <f t="shared" si="6"/>
        <v>円</v>
      </c>
      <c r="T23" s="563">
        <f t="shared" si="7"/>
      </c>
      <c r="U23" s="557"/>
      <c r="V23" s="472">
        <f t="shared" si="8"/>
      </c>
      <c r="W23" s="563">
        <f t="shared" si="9"/>
      </c>
      <c r="X23" s="557"/>
      <c r="Y23" s="470">
        <f t="shared" si="10"/>
      </c>
      <c r="Z23" s="557">
        <f t="shared" si="11"/>
      </c>
      <c r="AA23" s="557"/>
      <c r="AB23" s="470">
        <f t="shared" si="12"/>
      </c>
      <c r="AC23" s="557">
        <f t="shared" si="13"/>
      </c>
      <c r="AD23" s="557"/>
      <c r="AE23" s="471">
        <f t="shared" si="14"/>
      </c>
      <c r="AH23" s="30"/>
      <c r="AI23" s="64">
        <v>7</v>
      </c>
      <c r="AJ23" s="621" t="s">
        <v>146</v>
      </c>
      <c r="AK23" s="621"/>
      <c r="AL23" s="621"/>
      <c r="AM23" s="350">
        <f>HLOOKUP(AM4,'経営指標'!$D$3:$M$22,10,1)</f>
        <v>32550</v>
      </c>
      <c r="AN23" s="559" t="s">
        <v>610</v>
      </c>
      <c r="AO23" s="572"/>
      <c r="AP23" s="350">
        <f>IF(AP$5="","",HLOOKUP(AP$4,'経営指標'!$D$3:$M$22,10,1))</f>
        <v>17022</v>
      </c>
      <c r="AQ23" s="559" t="str">
        <f t="shared" si="15"/>
        <v>円</v>
      </c>
      <c r="AR23" s="559"/>
      <c r="AS23" s="350">
        <f>IF(AS$5="","",HLOOKUP(AS$4,'経営指標'!$D$3:$M$22,10,1))</f>
      </c>
      <c r="AT23" s="559">
        <f t="shared" si="1"/>
      </c>
      <c r="AU23" s="607"/>
      <c r="AV23" s="350">
        <f>IF(AV$5="","",HLOOKUP(AV$4,'経営指標'!$D$3:$M$22,10,1))</f>
      </c>
      <c r="AW23" s="559">
        <f t="shared" si="2"/>
      </c>
      <c r="AX23" s="607"/>
      <c r="AY23" s="350">
        <f>IF(AY$5="","",HLOOKUP(AY$4,'経営指標'!$D$3:$M$22,10,1))</f>
      </c>
      <c r="AZ23" s="559">
        <f t="shared" si="3"/>
      </c>
      <c r="BA23" s="607"/>
      <c r="BB23" s="350">
        <f>IF(BB$5="","",HLOOKUP(BB$4,'経営指標'!$D$3:$M$22,10,1))</f>
      </c>
      <c r="BC23" s="559">
        <f t="shared" si="4"/>
      </c>
      <c r="BD23" s="606"/>
    </row>
    <row r="24" spans="1:56" ht="15" customHeight="1">
      <c r="A24" s="624" t="s">
        <v>147</v>
      </c>
      <c r="B24" s="621" t="s">
        <v>148</v>
      </c>
      <c r="C24" s="621"/>
      <c r="D24" s="621"/>
      <c r="E24" s="604">
        <f t="shared" si="0"/>
        <v>0</v>
      </c>
      <c r="F24" s="605"/>
      <c r="G24" s="605"/>
      <c r="H24" s="471" t="s">
        <v>610</v>
      </c>
      <c r="I24" s="30"/>
      <c r="J24" s="625" t="s">
        <v>147</v>
      </c>
      <c r="K24" s="621" t="s">
        <v>148</v>
      </c>
      <c r="L24" s="621"/>
      <c r="M24" s="621"/>
      <c r="N24" s="563">
        <f t="shared" si="16"/>
        <v>0</v>
      </c>
      <c r="O24" s="557"/>
      <c r="P24" s="68" t="s">
        <v>371</v>
      </c>
      <c r="Q24" s="563">
        <f t="shared" si="5"/>
      </c>
      <c r="R24" s="557"/>
      <c r="S24" s="472" t="str">
        <f t="shared" si="6"/>
        <v>円</v>
      </c>
      <c r="T24" s="563">
        <f t="shared" si="7"/>
      </c>
      <c r="U24" s="557"/>
      <c r="V24" s="472">
        <f t="shared" si="8"/>
      </c>
      <c r="W24" s="563">
        <f t="shared" si="9"/>
      </c>
      <c r="X24" s="557"/>
      <c r="Y24" s="470">
        <f t="shared" si="10"/>
      </c>
      <c r="Z24" s="557">
        <f t="shared" si="11"/>
      </c>
      <c r="AA24" s="557"/>
      <c r="AB24" s="470">
        <f t="shared" si="12"/>
      </c>
      <c r="AC24" s="557">
        <f t="shared" si="13"/>
      </c>
      <c r="AD24" s="557"/>
      <c r="AE24" s="471">
        <f t="shared" si="14"/>
      </c>
      <c r="AH24" s="30"/>
      <c r="AI24" s="624" t="s">
        <v>147</v>
      </c>
      <c r="AJ24" s="621" t="s">
        <v>148</v>
      </c>
      <c r="AK24" s="621"/>
      <c r="AL24" s="621"/>
      <c r="AM24" s="350">
        <f>HLOOKUP(AM4,'経営指標'!$D$3:$M$22,11,1)</f>
        <v>2488</v>
      </c>
      <c r="AN24" s="559" t="s">
        <v>610</v>
      </c>
      <c r="AO24" s="572"/>
      <c r="AP24" s="350">
        <f>IF(AP$5="","",HLOOKUP(AP$4,'経営指標'!$D$3:$M$22,11,1))</f>
        <v>0</v>
      </c>
      <c r="AQ24" s="559" t="str">
        <f t="shared" si="15"/>
        <v>円</v>
      </c>
      <c r="AR24" s="559"/>
      <c r="AS24" s="350">
        <f>IF(AS$5="","",HLOOKUP(AS$4,'経営指標'!$D$3:$M$22,11,1))</f>
      </c>
      <c r="AT24" s="559">
        <f t="shared" si="1"/>
      </c>
      <c r="AU24" s="607"/>
      <c r="AV24" s="350">
        <f>IF(AV$5="","",HLOOKUP(AV$4,'経営指標'!$D$3:$M$22,11,1))</f>
      </c>
      <c r="AW24" s="559">
        <f t="shared" si="2"/>
      </c>
      <c r="AX24" s="607"/>
      <c r="AY24" s="350">
        <f>IF(AY$5="","",HLOOKUP(AY$4,'経営指標'!$D$3:$M$22,11,1))</f>
      </c>
      <c r="AZ24" s="559">
        <f t="shared" si="3"/>
      </c>
      <c r="BA24" s="607"/>
      <c r="BB24" s="350">
        <f>IF(BB$5="","",HLOOKUP(BB$4,'経営指標'!$D$3:$M$22,11,1))</f>
      </c>
      <c r="BC24" s="559">
        <f t="shared" si="4"/>
      </c>
      <c r="BD24" s="606"/>
    </row>
    <row r="25" spans="1:56" ht="15" customHeight="1">
      <c r="A25" s="624"/>
      <c r="B25" s="621" t="s">
        <v>149</v>
      </c>
      <c r="C25" s="621"/>
      <c r="D25" s="621"/>
      <c r="E25" s="604">
        <f t="shared" si="0"/>
        <v>0</v>
      </c>
      <c r="F25" s="605"/>
      <c r="G25" s="605"/>
      <c r="H25" s="471" t="s">
        <v>610</v>
      </c>
      <c r="I25" s="30"/>
      <c r="J25" s="625"/>
      <c r="K25" s="621" t="s">
        <v>149</v>
      </c>
      <c r="L25" s="621"/>
      <c r="M25" s="621"/>
      <c r="N25" s="563">
        <f t="shared" si="16"/>
        <v>0</v>
      </c>
      <c r="O25" s="557"/>
      <c r="P25" s="68" t="s">
        <v>371</v>
      </c>
      <c r="Q25" s="563">
        <f t="shared" si="5"/>
      </c>
      <c r="R25" s="557"/>
      <c r="S25" s="472" t="str">
        <f t="shared" si="6"/>
        <v>円</v>
      </c>
      <c r="T25" s="563">
        <f t="shared" si="7"/>
      </c>
      <c r="U25" s="557"/>
      <c r="V25" s="472">
        <f t="shared" si="8"/>
      </c>
      <c r="W25" s="563">
        <f t="shared" si="9"/>
      </c>
      <c r="X25" s="557"/>
      <c r="Y25" s="470">
        <f t="shared" si="10"/>
      </c>
      <c r="Z25" s="557">
        <f t="shared" si="11"/>
      </c>
      <c r="AA25" s="557"/>
      <c r="AB25" s="470">
        <f t="shared" si="12"/>
      </c>
      <c r="AC25" s="557">
        <f t="shared" si="13"/>
      </c>
      <c r="AD25" s="557"/>
      <c r="AE25" s="471">
        <f t="shared" si="14"/>
      </c>
      <c r="AH25" s="30"/>
      <c r="AI25" s="624"/>
      <c r="AJ25" s="621" t="s">
        <v>149</v>
      </c>
      <c r="AK25" s="621"/>
      <c r="AL25" s="621"/>
      <c r="AM25" s="350">
        <f>HLOOKUP(AM4,'経営指標'!$D$3:$M$22,12,1)</f>
        <v>14769</v>
      </c>
      <c r="AN25" s="559" t="s">
        <v>610</v>
      </c>
      <c r="AO25" s="572"/>
      <c r="AP25" s="350">
        <f>IF(AP$5="","",HLOOKUP(AP$4,'経営指標'!$D$3:$M$22,12,1))</f>
        <v>12975</v>
      </c>
      <c r="AQ25" s="559" t="str">
        <f t="shared" si="15"/>
        <v>円</v>
      </c>
      <c r="AR25" s="559"/>
      <c r="AS25" s="350">
        <f>IF(AS$5="","",HLOOKUP(AS$4,'経営指標'!$D$3:$M$22,12,1))</f>
      </c>
      <c r="AT25" s="559">
        <f t="shared" si="1"/>
      </c>
      <c r="AU25" s="607"/>
      <c r="AV25" s="350">
        <f>IF(AV$5="","",HLOOKUP(AV$4,'経営指標'!$D$3:$M$22,12,1))</f>
      </c>
      <c r="AW25" s="559">
        <f t="shared" si="2"/>
      </c>
      <c r="AX25" s="607"/>
      <c r="AY25" s="350">
        <f>IF(AY$5="","",HLOOKUP(AY$4,'経営指標'!$D$3:$M$22,12,1))</f>
      </c>
      <c r="AZ25" s="559">
        <f t="shared" si="3"/>
      </c>
      <c r="BA25" s="607"/>
      <c r="BB25" s="350">
        <f>IF(BB$5="","",HLOOKUP(BB$4,'経営指標'!$D$3:$M$22,12,1))</f>
      </c>
      <c r="BC25" s="559">
        <f t="shared" si="4"/>
      </c>
      <c r="BD25" s="606"/>
    </row>
    <row r="26" spans="1:56" ht="15" customHeight="1">
      <c r="A26" s="624"/>
      <c r="B26" s="621" t="s">
        <v>150</v>
      </c>
      <c r="C26" s="621"/>
      <c r="D26" s="621"/>
      <c r="E26" s="604">
        <f t="shared" si="0"/>
        <v>0</v>
      </c>
      <c r="F26" s="605"/>
      <c r="G26" s="605"/>
      <c r="H26" s="471" t="s">
        <v>610</v>
      </c>
      <c r="I26" s="30"/>
      <c r="J26" s="625"/>
      <c r="K26" s="621" t="s">
        <v>150</v>
      </c>
      <c r="L26" s="621"/>
      <c r="M26" s="621"/>
      <c r="N26" s="563">
        <f t="shared" si="16"/>
        <v>0</v>
      </c>
      <c r="O26" s="557"/>
      <c r="P26" s="68" t="s">
        <v>371</v>
      </c>
      <c r="Q26" s="563">
        <f t="shared" si="5"/>
      </c>
      <c r="R26" s="557"/>
      <c r="S26" s="472" t="str">
        <f t="shared" si="6"/>
        <v>円</v>
      </c>
      <c r="T26" s="563">
        <f t="shared" si="7"/>
      </c>
      <c r="U26" s="557"/>
      <c r="V26" s="472">
        <f t="shared" si="8"/>
      </c>
      <c r="W26" s="563">
        <f t="shared" si="9"/>
      </c>
      <c r="X26" s="557"/>
      <c r="Y26" s="470">
        <f t="shared" si="10"/>
      </c>
      <c r="Z26" s="557">
        <f t="shared" si="11"/>
      </c>
      <c r="AA26" s="557"/>
      <c r="AB26" s="470">
        <f t="shared" si="12"/>
      </c>
      <c r="AC26" s="557">
        <f t="shared" si="13"/>
      </c>
      <c r="AD26" s="557"/>
      <c r="AE26" s="471">
        <f t="shared" si="14"/>
      </c>
      <c r="AH26" s="30"/>
      <c r="AI26" s="624"/>
      <c r="AJ26" s="621" t="s">
        <v>150</v>
      </c>
      <c r="AK26" s="621"/>
      <c r="AL26" s="621"/>
      <c r="AM26" s="350">
        <f>HLOOKUP(AM4,'経営指標'!$D$3:$M$22,13,1)</f>
        <v>0</v>
      </c>
      <c r="AN26" s="559" t="s">
        <v>610</v>
      </c>
      <c r="AO26" s="572"/>
      <c r="AP26" s="350">
        <f>IF(AP$5="","",HLOOKUP(AP$4,'経営指標'!$D$3:$M$22,13,1))</f>
        <v>0</v>
      </c>
      <c r="AQ26" s="559" t="str">
        <f t="shared" si="15"/>
        <v>円</v>
      </c>
      <c r="AR26" s="559"/>
      <c r="AS26" s="350">
        <f>IF(AS$5="","",HLOOKUP(AS$4,'経営指標'!$D$3:$M$22,13,1))</f>
      </c>
      <c r="AT26" s="559">
        <f t="shared" si="1"/>
      </c>
      <c r="AU26" s="607"/>
      <c r="AV26" s="350">
        <f>IF(AV$5="","",HLOOKUP(AV$4,'経営指標'!$D$3:$M$22,13,1))</f>
      </c>
      <c r="AW26" s="559">
        <f t="shared" si="2"/>
      </c>
      <c r="AX26" s="607"/>
      <c r="AY26" s="350">
        <f>IF(AY$5="","",HLOOKUP(AY$4,'経営指標'!$D$3:$M$22,13,1))</f>
      </c>
      <c r="AZ26" s="559">
        <f t="shared" si="3"/>
      </c>
      <c r="BA26" s="607"/>
      <c r="BB26" s="350">
        <f>IF(BB$5="","",HLOOKUP(BB$4,'経営指標'!$D$3:$M$22,13,1))</f>
      </c>
      <c r="BC26" s="559">
        <f t="shared" si="4"/>
      </c>
      <c r="BD26" s="606"/>
    </row>
    <row r="27" spans="1:56" ht="15" customHeight="1">
      <c r="A27" s="64"/>
      <c r="B27" s="626" t="s">
        <v>151</v>
      </c>
      <c r="C27" s="627"/>
      <c r="D27" s="627"/>
      <c r="E27" s="604">
        <f t="shared" si="0"/>
        <v>0</v>
      </c>
      <c r="F27" s="605"/>
      <c r="G27" s="605"/>
      <c r="H27" s="471" t="s">
        <v>610</v>
      </c>
      <c r="I27" s="30"/>
      <c r="J27" s="64"/>
      <c r="K27" s="626" t="s">
        <v>151</v>
      </c>
      <c r="L27" s="627"/>
      <c r="M27" s="627"/>
      <c r="N27" s="563">
        <f>ROUNDDOWN($N$7*0.1*AM27,0)</f>
        <v>0</v>
      </c>
      <c r="O27" s="557"/>
      <c r="P27" s="68" t="s">
        <v>371</v>
      </c>
      <c r="Q27" s="563">
        <f t="shared" si="5"/>
      </c>
      <c r="R27" s="557"/>
      <c r="S27" s="472" t="str">
        <f t="shared" si="6"/>
        <v>円</v>
      </c>
      <c r="T27" s="563">
        <f t="shared" si="7"/>
      </c>
      <c r="U27" s="557"/>
      <c r="V27" s="472">
        <f t="shared" si="8"/>
      </c>
      <c r="W27" s="563">
        <f t="shared" si="9"/>
      </c>
      <c r="X27" s="557"/>
      <c r="Y27" s="470">
        <f t="shared" si="10"/>
      </c>
      <c r="Z27" s="557">
        <f t="shared" si="11"/>
      </c>
      <c r="AA27" s="557"/>
      <c r="AB27" s="470">
        <f t="shared" si="12"/>
      </c>
      <c r="AC27" s="557">
        <f t="shared" si="13"/>
      </c>
      <c r="AD27" s="557"/>
      <c r="AE27" s="471">
        <f t="shared" si="14"/>
      </c>
      <c r="AH27" s="30"/>
      <c r="AI27" s="64"/>
      <c r="AJ27" s="626" t="s">
        <v>151</v>
      </c>
      <c r="AK27" s="627"/>
      <c r="AL27" s="627"/>
      <c r="AM27" s="350">
        <f>HLOOKUP(AM4,'経営指標'!$D$3:$M$22,14,1)</f>
        <v>6550</v>
      </c>
      <c r="AN27" s="559" t="s">
        <v>610</v>
      </c>
      <c r="AO27" s="572"/>
      <c r="AP27" s="350">
        <f>IF(AP$5="","",HLOOKUP(AP$4,'経営指標'!$D$3:$M$22,14,1))</f>
        <v>7420</v>
      </c>
      <c r="AQ27" s="559" t="str">
        <f t="shared" si="15"/>
        <v>円</v>
      </c>
      <c r="AR27" s="559"/>
      <c r="AS27" s="350">
        <f>IF(AS$5="","",HLOOKUP(AS$4,'経営指標'!$D$3:$M$22,14,1))</f>
      </c>
      <c r="AT27" s="559">
        <f t="shared" si="1"/>
      </c>
      <c r="AU27" s="607"/>
      <c r="AV27" s="350">
        <f>IF(AV$5="","",HLOOKUP(AV$4,'経営指標'!$D$3:$M$22,14,1))</f>
      </c>
      <c r="AW27" s="559">
        <f t="shared" si="2"/>
      </c>
      <c r="AX27" s="607"/>
      <c r="AY27" s="350">
        <f>IF(AY$5="","",HLOOKUP(AY$4,'経営指標'!$D$3:$M$22,14,1))</f>
      </c>
      <c r="AZ27" s="559">
        <f t="shared" si="3"/>
      </c>
      <c r="BA27" s="607"/>
      <c r="BB27" s="350">
        <f>IF(BB$5="","",HLOOKUP(BB$4,'経営指標'!$D$3:$M$22,14,1))</f>
      </c>
      <c r="BC27" s="559">
        <f t="shared" si="4"/>
      </c>
      <c r="BD27" s="606"/>
    </row>
    <row r="28" spans="1:56" ht="15" customHeight="1">
      <c r="A28" s="64"/>
      <c r="B28" s="621" t="s">
        <v>152</v>
      </c>
      <c r="C28" s="622"/>
      <c r="D28" s="622"/>
      <c r="E28" s="604">
        <f t="shared" si="0"/>
        <v>0</v>
      </c>
      <c r="F28" s="605"/>
      <c r="G28" s="605"/>
      <c r="H28" s="471" t="s">
        <v>610</v>
      </c>
      <c r="I28" s="30"/>
      <c r="J28" s="64"/>
      <c r="K28" s="621" t="s">
        <v>152</v>
      </c>
      <c r="L28" s="622"/>
      <c r="M28" s="622"/>
      <c r="N28" s="563">
        <f t="shared" si="16"/>
        <v>0</v>
      </c>
      <c r="O28" s="557"/>
      <c r="P28" s="68" t="s">
        <v>371</v>
      </c>
      <c r="Q28" s="563">
        <f t="shared" si="5"/>
      </c>
      <c r="R28" s="557"/>
      <c r="S28" s="472" t="str">
        <f t="shared" si="6"/>
        <v>円</v>
      </c>
      <c r="T28" s="563">
        <f t="shared" si="7"/>
      </c>
      <c r="U28" s="557"/>
      <c r="V28" s="472">
        <f t="shared" si="8"/>
      </c>
      <c r="W28" s="563">
        <f t="shared" si="9"/>
      </c>
      <c r="X28" s="557"/>
      <c r="Y28" s="470">
        <f t="shared" si="10"/>
      </c>
      <c r="Z28" s="557">
        <f t="shared" si="11"/>
      </c>
      <c r="AA28" s="557"/>
      <c r="AB28" s="470">
        <f t="shared" si="12"/>
      </c>
      <c r="AC28" s="557">
        <f t="shared" si="13"/>
      </c>
      <c r="AD28" s="557"/>
      <c r="AE28" s="471">
        <f t="shared" si="14"/>
      </c>
      <c r="AH28" s="30"/>
      <c r="AI28" s="64"/>
      <c r="AJ28" s="621" t="s">
        <v>152</v>
      </c>
      <c r="AK28" s="622"/>
      <c r="AL28" s="622"/>
      <c r="AM28" s="350">
        <f>HLOOKUP(AM4,'経営指標'!$D$3:$M$22,15,1)</f>
        <v>0</v>
      </c>
      <c r="AN28" s="559" t="s">
        <v>610</v>
      </c>
      <c r="AO28" s="572"/>
      <c r="AP28" s="350">
        <f>IF(AP$5="","",HLOOKUP(AP$4,'経営指標'!$D$3:$M$22,15,1))</f>
        <v>0</v>
      </c>
      <c r="AQ28" s="559" t="str">
        <f t="shared" si="15"/>
        <v>円</v>
      </c>
      <c r="AR28" s="559"/>
      <c r="AS28" s="350">
        <f>IF(AS$5="","",HLOOKUP(AS$4,'経営指標'!$D$3:$M$22,15,1))</f>
      </c>
      <c r="AT28" s="559">
        <f t="shared" si="1"/>
      </c>
      <c r="AU28" s="607"/>
      <c r="AV28" s="350">
        <f>IF(AV$5="","",HLOOKUP(AV$4,'経営指標'!$D$3:$M$22,15,1))</f>
      </c>
      <c r="AW28" s="559">
        <f t="shared" si="2"/>
      </c>
      <c r="AX28" s="607"/>
      <c r="AY28" s="350">
        <f>IF(AY$5="","",HLOOKUP(AY$4,'経営指標'!$D$3:$M$22,15,1))</f>
      </c>
      <c r="AZ28" s="559">
        <f t="shared" si="3"/>
      </c>
      <c r="BA28" s="607"/>
      <c r="BB28" s="350">
        <f>IF(BB$5="","",HLOOKUP(BB$4,'経営指標'!$D$3:$M$22,15,1))</f>
      </c>
      <c r="BC28" s="559">
        <f t="shared" si="4"/>
      </c>
      <c r="BD28" s="606"/>
    </row>
    <row r="29" spans="1:56" ht="15" customHeight="1">
      <c r="A29" s="64"/>
      <c r="B29" s="621" t="s">
        <v>153</v>
      </c>
      <c r="C29" s="622"/>
      <c r="D29" s="622"/>
      <c r="E29" s="604">
        <f t="shared" si="0"/>
        <v>0</v>
      </c>
      <c r="F29" s="605"/>
      <c r="G29" s="605"/>
      <c r="H29" s="471" t="s">
        <v>610</v>
      </c>
      <c r="I29" s="30"/>
      <c r="J29" s="64"/>
      <c r="K29" s="621" t="s">
        <v>153</v>
      </c>
      <c r="L29" s="622"/>
      <c r="M29" s="622"/>
      <c r="N29" s="563">
        <f t="shared" si="16"/>
        <v>0</v>
      </c>
      <c r="O29" s="557"/>
      <c r="P29" s="68" t="s">
        <v>371</v>
      </c>
      <c r="Q29" s="563">
        <f t="shared" si="5"/>
      </c>
      <c r="R29" s="557"/>
      <c r="S29" s="472" t="str">
        <f t="shared" si="6"/>
        <v>円</v>
      </c>
      <c r="T29" s="563">
        <f t="shared" si="7"/>
      </c>
      <c r="U29" s="557"/>
      <c r="V29" s="472">
        <f t="shared" si="8"/>
      </c>
      <c r="W29" s="563">
        <f t="shared" si="9"/>
      </c>
      <c r="X29" s="557"/>
      <c r="Y29" s="470">
        <f t="shared" si="10"/>
      </c>
      <c r="Z29" s="557">
        <f t="shared" si="11"/>
      </c>
      <c r="AA29" s="557"/>
      <c r="AB29" s="470">
        <f t="shared" si="12"/>
      </c>
      <c r="AC29" s="557">
        <f t="shared" si="13"/>
      </c>
      <c r="AD29" s="557"/>
      <c r="AE29" s="471">
        <f t="shared" si="14"/>
      </c>
      <c r="AH29" s="30"/>
      <c r="AI29" s="64"/>
      <c r="AJ29" s="621" t="s">
        <v>153</v>
      </c>
      <c r="AK29" s="622"/>
      <c r="AL29" s="622"/>
      <c r="AM29" s="350">
        <f>HLOOKUP(AM4,'経営指標'!$D$3:$M$22,16,1)</f>
        <v>0</v>
      </c>
      <c r="AN29" s="559" t="s">
        <v>610</v>
      </c>
      <c r="AO29" s="572"/>
      <c r="AP29" s="350">
        <f>IF(AP$5="","",HLOOKUP(AP$4,'経営指標'!$D$3:$M$22,16,1))</f>
        <v>0</v>
      </c>
      <c r="AQ29" s="559" t="str">
        <f t="shared" si="15"/>
        <v>円</v>
      </c>
      <c r="AR29" s="559"/>
      <c r="AS29" s="350">
        <f>IF(AS$5="","",HLOOKUP(AS$4,'経営指標'!$D$3:$M$22,16,1))</f>
      </c>
      <c r="AT29" s="559">
        <f t="shared" si="1"/>
      </c>
      <c r="AU29" s="607"/>
      <c r="AV29" s="350">
        <f>IF(AV$5="","",HLOOKUP(AV$4,'経営指標'!$D$3:$M$22,16,1))</f>
      </c>
      <c r="AW29" s="559">
        <f t="shared" si="2"/>
      </c>
      <c r="AX29" s="607"/>
      <c r="AY29" s="350">
        <f>IF(AY$5="","",HLOOKUP(AY$4,'経営指標'!$D$3:$M$22,16,1))</f>
      </c>
      <c r="AZ29" s="559">
        <f t="shared" si="3"/>
      </c>
      <c r="BA29" s="607"/>
      <c r="BB29" s="350">
        <f>IF(BB$5="","",HLOOKUP(BB$4,'経営指標'!$D$3:$M$22,16,1))</f>
      </c>
      <c r="BC29" s="559">
        <f t="shared" si="4"/>
      </c>
      <c r="BD29" s="606"/>
    </row>
    <row r="30" spans="1:56" ht="15" customHeight="1">
      <c r="A30" s="632" t="s">
        <v>83</v>
      </c>
      <c r="B30" s="633"/>
      <c r="C30" s="633"/>
      <c r="D30" s="634"/>
      <c r="E30" s="604">
        <f t="shared" si="0"/>
        <v>0</v>
      </c>
      <c r="F30" s="605"/>
      <c r="G30" s="605"/>
      <c r="H30" s="471" t="s">
        <v>610</v>
      </c>
      <c r="I30" s="30"/>
      <c r="J30" s="632" t="s">
        <v>83</v>
      </c>
      <c r="K30" s="633"/>
      <c r="L30" s="633"/>
      <c r="M30" s="634"/>
      <c r="N30" s="563">
        <f>SUM(N31:O33)</f>
        <v>0</v>
      </c>
      <c r="O30" s="557"/>
      <c r="P30" s="68" t="s">
        <v>371</v>
      </c>
      <c r="Q30" s="563">
        <f>IF(Q$7="","",SUM(Q31:Q33))</f>
      </c>
      <c r="R30" s="557"/>
      <c r="S30" s="472" t="str">
        <f t="shared" si="6"/>
        <v>円</v>
      </c>
      <c r="T30" s="563">
        <f>IF(T$7="","",SUM(T31:T33))</f>
      </c>
      <c r="U30" s="557"/>
      <c r="V30" s="472">
        <f t="shared" si="8"/>
      </c>
      <c r="W30" s="563">
        <f>IF(W$7="","",SUM(W31:W33))</f>
      </c>
      <c r="X30" s="557"/>
      <c r="Y30" s="470">
        <f t="shared" si="10"/>
      </c>
      <c r="Z30" s="557">
        <f>IF(Z$7="","",SUM(Z31:Z33))</f>
      </c>
      <c r="AA30" s="557"/>
      <c r="AB30" s="470">
        <f t="shared" si="12"/>
      </c>
      <c r="AC30" s="557">
        <f>IF(AC$7="","",SUM(AC31:AC33))</f>
      </c>
      <c r="AD30" s="557"/>
      <c r="AE30" s="471">
        <f t="shared" si="14"/>
      </c>
      <c r="AH30" s="30"/>
      <c r="AI30" s="628" t="s">
        <v>83</v>
      </c>
      <c r="AJ30" s="629"/>
      <c r="AK30" s="629"/>
      <c r="AL30" s="629"/>
      <c r="AM30" s="350">
        <f>IF(SUM(AM31:AM33)="","",SUM(AM31:AM33))</f>
        <v>0</v>
      </c>
      <c r="AN30" s="559" t="s">
        <v>610</v>
      </c>
      <c r="AO30" s="572"/>
      <c r="AP30" s="350">
        <f>IF(SUM(AP31:AP33)=0,"",SUM(AP31:AP33))</f>
      </c>
      <c r="AQ30" s="559" t="str">
        <f t="shared" si="15"/>
        <v>円</v>
      </c>
      <c r="AR30" s="559"/>
      <c r="AS30" s="350">
        <f>IF(SUM(AS31:AS33)=0,"",SUM(AS31:AS33))</f>
      </c>
      <c r="AT30" s="559">
        <f t="shared" si="1"/>
      </c>
      <c r="AU30" s="607"/>
      <c r="AV30" s="350">
        <f>IF(SUM(AV31:AV33)=0,"",SUM(AV31:AV33))</f>
      </c>
      <c r="AW30" s="559">
        <f t="shared" si="2"/>
      </c>
      <c r="AX30" s="607"/>
      <c r="AY30" s="350">
        <f>IF(SUM(AY31:AY33)=0,"",SUM(AY31:AY33))</f>
      </c>
      <c r="AZ30" s="559">
        <f t="shared" si="3"/>
      </c>
      <c r="BA30" s="607"/>
      <c r="BB30" s="350">
        <f>IF(SUM(BB31:BB33)=0,"",SUM(BB31:BB33))</f>
      </c>
      <c r="BC30" s="559">
        <f t="shared" si="4"/>
      </c>
      <c r="BD30" s="606"/>
    </row>
    <row r="31" spans="1:56" ht="15" customHeight="1">
      <c r="A31" s="635" t="s">
        <v>154</v>
      </c>
      <c r="B31" s="621" t="s">
        <v>155</v>
      </c>
      <c r="C31" s="621"/>
      <c r="D31" s="621"/>
      <c r="E31" s="638">
        <f t="shared" si="0"/>
        <v>0</v>
      </c>
      <c r="F31" s="639"/>
      <c r="G31" s="639"/>
      <c r="H31" s="471" t="s">
        <v>610</v>
      </c>
      <c r="I31" s="30"/>
      <c r="J31" s="635" t="s">
        <v>154</v>
      </c>
      <c r="K31" s="621" t="s">
        <v>155</v>
      </c>
      <c r="L31" s="621"/>
      <c r="M31" s="621"/>
      <c r="N31" s="630">
        <f>ROUNDDOWN($N$7*0.1*AM31,0)</f>
        <v>0</v>
      </c>
      <c r="O31" s="631"/>
      <c r="P31" s="68" t="s">
        <v>371</v>
      </c>
      <c r="Q31" s="630">
        <f t="shared" si="5"/>
      </c>
      <c r="R31" s="631"/>
      <c r="S31" s="472" t="str">
        <f t="shared" si="6"/>
        <v>円</v>
      </c>
      <c r="T31" s="630">
        <f t="shared" si="7"/>
      </c>
      <c r="U31" s="631"/>
      <c r="V31" s="472">
        <f t="shared" si="8"/>
      </c>
      <c r="W31" s="630">
        <f t="shared" si="9"/>
      </c>
      <c r="X31" s="631"/>
      <c r="Y31" s="470">
        <f t="shared" si="10"/>
      </c>
      <c r="Z31" s="631">
        <f t="shared" si="11"/>
      </c>
      <c r="AA31" s="631"/>
      <c r="AB31" s="470">
        <f t="shared" si="12"/>
      </c>
      <c r="AC31" s="631">
        <f t="shared" si="13"/>
      </c>
      <c r="AD31" s="631"/>
      <c r="AE31" s="471">
        <f t="shared" si="14"/>
      </c>
      <c r="AH31" s="30"/>
      <c r="AI31" s="650" t="s">
        <v>154</v>
      </c>
      <c r="AJ31" s="621" t="s">
        <v>155</v>
      </c>
      <c r="AK31" s="621"/>
      <c r="AL31" s="621"/>
      <c r="AM31" s="355">
        <f>HLOOKUP(AM4,'経営指標'!$D$3:$M$22,18,1)</f>
        <v>0</v>
      </c>
      <c r="AN31" s="559" t="s">
        <v>610</v>
      </c>
      <c r="AO31" s="572"/>
      <c r="AP31" s="355">
        <f>IF(AP$5="","",HLOOKUP(AP$4,'経営指標'!$D$3:$M$22,18,1))</f>
        <v>0</v>
      </c>
      <c r="AQ31" s="559" t="str">
        <f t="shared" si="15"/>
        <v>円</v>
      </c>
      <c r="AR31" s="559"/>
      <c r="AS31" s="355">
        <f>IF(AS$5="","",HLOOKUP(AS$4,'経営指標'!$D$3:$M$22,18,1))</f>
      </c>
      <c r="AT31" s="559">
        <f t="shared" si="1"/>
      </c>
      <c r="AU31" s="607"/>
      <c r="AV31" s="355">
        <f>IF(AV$5="","",HLOOKUP(AV$4,'経営指標'!$D$3:$M$22,18,1))</f>
      </c>
      <c r="AW31" s="559">
        <f t="shared" si="2"/>
      </c>
      <c r="AX31" s="607"/>
      <c r="AY31" s="355">
        <f>IF(AY$5="","",HLOOKUP(AY$4,'経営指標'!$D$3:$M$22,18,1))</f>
      </c>
      <c r="AZ31" s="559">
        <f t="shared" si="3"/>
      </c>
      <c r="BA31" s="607"/>
      <c r="BB31" s="355">
        <f>IF(BB$5="","",HLOOKUP(BB$4,'経営指標'!$D$3:$M$22,18,1))</f>
      </c>
      <c r="BC31" s="559">
        <f t="shared" si="4"/>
      </c>
      <c r="BD31" s="606"/>
    </row>
    <row r="32" spans="1:56" ht="15" customHeight="1">
      <c r="A32" s="636"/>
      <c r="B32" s="621" t="s">
        <v>156</v>
      </c>
      <c r="C32" s="621"/>
      <c r="D32" s="621"/>
      <c r="E32" s="638">
        <f t="shared" si="0"/>
        <v>0</v>
      </c>
      <c r="F32" s="639"/>
      <c r="G32" s="639"/>
      <c r="H32" s="471" t="s">
        <v>610</v>
      </c>
      <c r="I32" s="30"/>
      <c r="J32" s="636"/>
      <c r="K32" s="621" t="s">
        <v>156</v>
      </c>
      <c r="L32" s="621"/>
      <c r="M32" s="621"/>
      <c r="N32" s="630">
        <f>ROUNDDOWN($N$7*0.1*AM32,0)</f>
        <v>0</v>
      </c>
      <c r="O32" s="631"/>
      <c r="P32" s="68" t="s">
        <v>371</v>
      </c>
      <c r="Q32" s="630">
        <f t="shared" si="5"/>
      </c>
      <c r="R32" s="631"/>
      <c r="S32" s="472" t="str">
        <f t="shared" si="6"/>
        <v>円</v>
      </c>
      <c r="T32" s="630">
        <f t="shared" si="7"/>
      </c>
      <c r="U32" s="631"/>
      <c r="V32" s="472">
        <f t="shared" si="8"/>
      </c>
      <c r="W32" s="630">
        <f t="shared" si="9"/>
      </c>
      <c r="X32" s="631"/>
      <c r="Y32" s="470">
        <f t="shared" si="10"/>
      </c>
      <c r="Z32" s="631">
        <f t="shared" si="11"/>
      </c>
      <c r="AA32" s="631"/>
      <c r="AB32" s="470">
        <f t="shared" si="12"/>
      </c>
      <c r="AC32" s="631">
        <f t="shared" si="13"/>
      </c>
      <c r="AD32" s="631"/>
      <c r="AE32" s="471">
        <f t="shared" si="14"/>
      </c>
      <c r="AH32" s="30"/>
      <c r="AI32" s="651"/>
      <c r="AJ32" s="621" t="s">
        <v>156</v>
      </c>
      <c r="AK32" s="621"/>
      <c r="AL32" s="621"/>
      <c r="AM32" s="355">
        <f>HLOOKUP(AM4,'経営指標'!$D$3:$M$22,19,1)</f>
        <v>0</v>
      </c>
      <c r="AN32" s="559" t="s">
        <v>610</v>
      </c>
      <c r="AO32" s="572"/>
      <c r="AP32" s="355">
        <f>IF(AP$5="","",HLOOKUP(AP$4,'経営指標'!$D$3:$M$22,19,1))</f>
        <v>0</v>
      </c>
      <c r="AQ32" s="559" t="str">
        <f t="shared" si="15"/>
        <v>円</v>
      </c>
      <c r="AR32" s="559"/>
      <c r="AS32" s="355">
        <f>IF(AS$5="","",HLOOKUP(AS$4,'経営指標'!$D$3:$M$22,19,1))</f>
      </c>
      <c r="AT32" s="559">
        <f t="shared" si="1"/>
      </c>
      <c r="AU32" s="607"/>
      <c r="AV32" s="355">
        <f>IF(AV$5="","",HLOOKUP(AV$4,'経営指標'!$D$3:$M$22,19,1))</f>
      </c>
      <c r="AW32" s="559">
        <f t="shared" si="2"/>
      </c>
      <c r="AX32" s="607"/>
      <c r="AY32" s="355">
        <f>IF(AY$5="","",HLOOKUP(AY$4,'経営指標'!$D$3:$M$22,19,1))</f>
      </c>
      <c r="AZ32" s="559">
        <f t="shared" si="3"/>
      </c>
      <c r="BA32" s="607"/>
      <c r="BB32" s="355">
        <f>IF(BB$5="","",HLOOKUP(BB$4,'経営指標'!$D$3:$M$22,19,1))</f>
      </c>
      <c r="BC32" s="559">
        <f t="shared" si="4"/>
      </c>
      <c r="BD32" s="606"/>
    </row>
    <row r="33" spans="1:56" ht="15" customHeight="1">
      <c r="A33" s="637"/>
      <c r="B33" s="668" t="s">
        <v>157</v>
      </c>
      <c r="C33" s="668"/>
      <c r="D33" s="668"/>
      <c r="E33" s="666">
        <f t="shared" si="0"/>
        <v>0</v>
      </c>
      <c r="F33" s="667"/>
      <c r="G33" s="667"/>
      <c r="H33" s="474" t="s">
        <v>610</v>
      </c>
      <c r="I33" s="30"/>
      <c r="J33" s="637"/>
      <c r="K33" s="668" t="s">
        <v>157</v>
      </c>
      <c r="L33" s="668"/>
      <c r="M33" s="668"/>
      <c r="N33" s="673">
        <f>ROUNDDOWN($N$7*0.1*AM33,0)</f>
        <v>0</v>
      </c>
      <c r="O33" s="640"/>
      <c r="P33" s="69" t="s">
        <v>371</v>
      </c>
      <c r="Q33" s="673">
        <f t="shared" si="5"/>
      </c>
      <c r="R33" s="640"/>
      <c r="S33" s="475" t="str">
        <f t="shared" si="6"/>
        <v>円</v>
      </c>
      <c r="T33" s="673">
        <f t="shared" si="7"/>
      </c>
      <c r="U33" s="640"/>
      <c r="V33" s="475">
        <f t="shared" si="8"/>
      </c>
      <c r="W33" s="673">
        <f t="shared" si="9"/>
      </c>
      <c r="X33" s="640"/>
      <c r="Y33" s="473">
        <f t="shared" si="10"/>
      </c>
      <c r="Z33" s="640">
        <f t="shared" si="11"/>
      </c>
      <c r="AA33" s="640"/>
      <c r="AB33" s="473">
        <f t="shared" si="12"/>
      </c>
      <c r="AC33" s="640">
        <f t="shared" si="13"/>
      </c>
      <c r="AD33" s="640"/>
      <c r="AE33" s="474">
        <f t="shared" si="14"/>
      </c>
      <c r="AH33" s="30"/>
      <c r="AI33" s="652"/>
      <c r="AJ33" s="674" t="s">
        <v>157</v>
      </c>
      <c r="AK33" s="674"/>
      <c r="AL33" s="674"/>
      <c r="AM33" s="356">
        <f>HLOOKUP(AM4,'経営指標'!$D$3:$M$22,20,1)</f>
        <v>0</v>
      </c>
      <c r="AN33" s="641" t="s">
        <v>610</v>
      </c>
      <c r="AO33" s="642"/>
      <c r="AP33" s="356">
        <f>IF(AP$5="","",HLOOKUP(AP$4,'経営指標'!$D$3:$M$22,20,1))</f>
        <v>0</v>
      </c>
      <c r="AQ33" s="641" t="str">
        <f t="shared" si="15"/>
        <v>円</v>
      </c>
      <c r="AR33" s="641"/>
      <c r="AS33" s="356">
        <f>IF(AS$5="","",HLOOKUP(AS$4,'経営指標'!$D$3:$M$22,20,1))</f>
      </c>
      <c r="AT33" s="641">
        <f t="shared" si="1"/>
      </c>
      <c r="AU33" s="643"/>
      <c r="AV33" s="356">
        <f>IF(AV$5="","",HLOOKUP(AV$4,'経営指標'!$D$3:$M$22,20,1))</f>
      </c>
      <c r="AW33" s="641">
        <f t="shared" si="2"/>
      </c>
      <c r="AX33" s="643"/>
      <c r="AY33" s="356">
        <f>IF(AY$5="","",HLOOKUP(AY$4,'経営指標'!$D$3:$M$22,20,1))</f>
      </c>
      <c r="AZ33" s="641">
        <f t="shared" si="3"/>
      </c>
      <c r="BA33" s="643"/>
      <c r="BB33" s="356">
        <f>IF(BB$5="","",HLOOKUP(BB$4,'経営指標'!$D$3:$M$22,20,1))</f>
      </c>
      <c r="BC33" s="641">
        <f t="shared" si="4"/>
      </c>
      <c r="BD33" s="646"/>
    </row>
    <row r="34" spans="1:56" ht="15" customHeight="1">
      <c r="A34" s="664" t="s">
        <v>158</v>
      </c>
      <c r="B34" s="665"/>
      <c r="C34" s="665"/>
      <c r="D34" s="665"/>
      <c r="E34" s="669">
        <f>SUM(E17:E30)</f>
        <v>0</v>
      </c>
      <c r="F34" s="670"/>
      <c r="G34" s="670"/>
      <c r="H34" s="486" t="s">
        <v>610</v>
      </c>
      <c r="I34" s="30"/>
      <c r="J34" s="664" t="s">
        <v>565</v>
      </c>
      <c r="K34" s="665"/>
      <c r="L34" s="665"/>
      <c r="M34" s="665"/>
      <c r="N34" s="671">
        <f>SUM(N17:N30)</f>
        <v>0</v>
      </c>
      <c r="O34" s="672"/>
      <c r="P34" s="70" t="s">
        <v>371</v>
      </c>
      <c r="Q34" s="586">
        <f>IF(Q13="","",SUM(Q17:R30))</f>
      </c>
      <c r="R34" s="587"/>
      <c r="S34" s="476" t="str">
        <f t="shared" si="6"/>
        <v>円</v>
      </c>
      <c r="T34" s="586">
        <f>IF(T13="","",SUM(T17:U30))</f>
      </c>
      <c r="U34" s="587"/>
      <c r="V34" s="476">
        <f t="shared" si="8"/>
      </c>
      <c r="W34" s="586">
        <f>IF(W13="","",SUM(W17:X30))</f>
      </c>
      <c r="X34" s="587"/>
      <c r="Y34" s="478">
        <f t="shared" si="10"/>
      </c>
      <c r="Z34" s="587">
        <f>IF(Z13="","",SUM(Z17:AA30))</f>
      </c>
      <c r="AA34" s="587"/>
      <c r="AB34" s="478">
        <f t="shared" si="12"/>
      </c>
      <c r="AC34" s="587">
        <f>IF(AC13="","",SUM(AC17:AD30))</f>
      </c>
      <c r="AD34" s="587"/>
      <c r="AE34" s="477">
        <f t="shared" si="14"/>
      </c>
      <c r="AH34" s="30"/>
      <c r="AI34" s="653" t="s">
        <v>565</v>
      </c>
      <c r="AJ34" s="654"/>
      <c r="AK34" s="654"/>
      <c r="AL34" s="654"/>
      <c r="AM34" s="80">
        <f>SUM(AM17:AM30)</f>
        <v>99828</v>
      </c>
      <c r="AN34" s="644" t="s">
        <v>610</v>
      </c>
      <c r="AO34" s="655" t="s">
        <v>611</v>
      </c>
      <c r="AP34" s="80">
        <f>IF(SUM(AP17:AP30)=0,"",SUM(AP17:AP30))</f>
        <v>70055</v>
      </c>
      <c r="AQ34" s="644" t="str">
        <f t="shared" si="15"/>
        <v>円</v>
      </c>
      <c r="AR34" s="644"/>
      <c r="AS34" s="80">
        <f>IF(SUM(AS17:AS30)=0,"",SUM(AS17:AS30))</f>
      </c>
      <c r="AT34" s="644">
        <f t="shared" si="1"/>
      </c>
      <c r="AU34" s="645"/>
      <c r="AV34" s="47">
        <f>IF(SUM(AV17:AV30)=0,"",SUM(AV17:AV30))</f>
      </c>
      <c r="AW34" s="644">
        <f t="shared" si="2"/>
      </c>
      <c r="AX34" s="645"/>
      <c r="AY34" s="47">
        <f>IF(SUM(AY17:AY30)=0,"",SUM(AY17:AY30))</f>
      </c>
      <c r="AZ34" s="644">
        <f t="shared" si="3"/>
      </c>
      <c r="BA34" s="645"/>
      <c r="BB34" s="47">
        <f>IF(SUM(BB17:BB30)=0,"",SUM(BB17:BB30))</f>
      </c>
      <c r="BC34" s="644">
        <f t="shared" si="4"/>
      </c>
      <c r="BD34" s="649"/>
    </row>
    <row r="35" spans="1:56" ht="15" customHeight="1">
      <c r="A35" s="661" t="s">
        <v>567</v>
      </c>
      <c r="B35" s="659"/>
      <c r="C35" s="659"/>
      <c r="D35" s="659"/>
      <c r="E35" s="662">
        <f>E13-E34</f>
        <v>0</v>
      </c>
      <c r="F35" s="663"/>
      <c r="G35" s="663"/>
      <c r="H35" s="487" t="s">
        <v>610</v>
      </c>
      <c r="I35" s="44"/>
      <c r="J35" s="664" t="s">
        <v>566</v>
      </c>
      <c r="K35" s="665"/>
      <c r="L35" s="665"/>
      <c r="M35" s="665"/>
      <c r="N35" s="686">
        <f>N13-N34</f>
        <v>0</v>
      </c>
      <c r="O35" s="683"/>
      <c r="P35" s="73" t="s">
        <v>371</v>
      </c>
      <c r="Q35" s="686">
        <f>IF(Q$13="","",Q13-Q34)</f>
      </c>
      <c r="R35" s="683"/>
      <c r="S35" s="484" t="str">
        <f t="shared" si="6"/>
        <v>円</v>
      </c>
      <c r="T35" s="686">
        <f>IF(T$13="","",T13-T34)</f>
      </c>
      <c r="U35" s="683"/>
      <c r="V35" s="484">
        <f t="shared" si="8"/>
      </c>
      <c r="W35" s="686">
        <f>IF(W$13="","",W13-W34)</f>
      </c>
      <c r="X35" s="683"/>
      <c r="Y35" s="483">
        <f t="shared" si="10"/>
      </c>
      <c r="Z35" s="683">
        <f>IF(Z$13="","",Z13-Z34)</f>
      </c>
      <c r="AA35" s="683"/>
      <c r="AB35" s="483">
        <f t="shared" si="12"/>
      </c>
      <c r="AC35" s="683">
        <f>IF(AC$13="","",AC13-AC34)</f>
      </c>
      <c r="AD35" s="683"/>
      <c r="AE35" s="488">
        <f t="shared" si="14"/>
      </c>
      <c r="AF35" s="45"/>
      <c r="AG35" s="45"/>
      <c r="AH35" s="44"/>
      <c r="AI35" s="658" t="s">
        <v>568</v>
      </c>
      <c r="AJ35" s="659"/>
      <c r="AK35" s="659"/>
      <c r="AL35" s="659"/>
      <c r="AM35" s="71">
        <f>AM13-AM34</f>
        <v>12672</v>
      </c>
      <c r="AN35" s="647" t="s">
        <v>610</v>
      </c>
      <c r="AO35" s="660" t="s">
        <v>610</v>
      </c>
      <c r="AP35" s="71">
        <f>IF(AP13="","",AP13-AP34)</f>
        <v>30070</v>
      </c>
      <c r="AQ35" s="647" t="str">
        <f>IF($AP$5="","","円")</f>
        <v>円</v>
      </c>
      <c r="AR35" s="660" t="s">
        <v>610</v>
      </c>
      <c r="AS35" s="71">
        <f>IF(AS13="","",AS13-AS34)</f>
      </c>
      <c r="AT35" s="647">
        <f t="shared" si="1"/>
      </c>
      <c r="AU35" s="648" t="s">
        <v>610</v>
      </c>
      <c r="AV35" s="72">
        <f>IF(AV13="","",AV13-AV34)</f>
      </c>
      <c r="AW35" s="647">
        <f t="shared" si="2"/>
      </c>
      <c r="AX35" s="648" t="s">
        <v>610</v>
      </c>
      <c r="AY35" s="72">
        <f>IF(AY13="","",AY13-AY34)</f>
      </c>
      <c r="AZ35" s="647">
        <f t="shared" si="3"/>
      </c>
      <c r="BA35" s="648" t="s">
        <v>610</v>
      </c>
      <c r="BB35" s="72">
        <f>IF(BB13="","",BB13-BB34)</f>
      </c>
      <c r="BC35" s="590">
        <f t="shared" si="4"/>
      </c>
      <c r="BD35" s="593" t="s">
        <v>610</v>
      </c>
    </row>
    <row r="36" spans="1:49" ht="15" customHeight="1">
      <c r="A36" s="656"/>
      <c r="B36" s="656"/>
      <c r="C36" s="656"/>
      <c r="D36" s="656"/>
      <c r="E36" s="657"/>
      <c r="F36" s="657"/>
      <c r="G36" s="657"/>
      <c r="H36" s="55"/>
      <c r="I36" s="30"/>
      <c r="J36" s="30"/>
      <c r="K36" s="30"/>
      <c r="L36" s="30"/>
      <c r="M36" s="30"/>
      <c r="N36" s="28"/>
      <c r="O36" s="30" t="e">
        <f>(N35/N13)*100</f>
        <v>#DIV/0!</v>
      </c>
      <c r="P36" s="30"/>
      <c r="Q36" s="489"/>
      <c r="R36" s="489">
        <f>IF(Q13="","",(Q35/Q13)*100)</f>
      </c>
      <c r="S36" s="30"/>
      <c r="T36" s="489"/>
      <c r="U36" s="489">
        <f>IF(T13="","",(T35/T13)*100)</f>
      </c>
      <c r="V36" s="30"/>
      <c r="W36" s="489"/>
      <c r="X36" s="489">
        <f>IF(W13="","",(W35/W13)*100)</f>
      </c>
      <c r="Y36" s="30"/>
      <c r="Z36" s="489"/>
      <c r="AA36" s="489">
        <f>IF(Z13="","",(Z35/Z13)*100)</f>
      </c>
      <c r="AB36" s="30"/>
      <c r="AC36" s="489"/>
      <c r="AD36" s="489">
        <f>IF(AC13="","",(AC35/AC13)*100)</f>
      </c>
      <c r="AE36" s="30"/>
      <c r="AP36" s="10"/>
      <c r="AQ36" s="10"/>
      <c r="AS36" s="10"/>
      <c r="AT36" s="10"/>
      <c r="AV36" s="10"/>
      <c r="AW36" s="10"/>
    </row>
    <row r="37" spans="1:56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M37" s="490">
        <f>(AM35/AM13)*100</f>
        <v>11.264000000000001</v>
      </c>
      <c r="AN37" s="30" t="s">
        <v>319</v>
      </c>
      <c r="AO37" s="30"/>
      <c r="AP37" s="462">
        <f>IF(AP35="","",(AP35/AP13)*100)</f>
        <v>30.03245942571785</v>
      </c>
      <c r="AQ37" s="30" t="str">
        <f>IF(AP35="","","%")</f>
        <v>%</v>
      </c>
      <c r="AR37" s="30"/>
      <c r="AS37" s="462">
        <f>IF(AS35="","",(AS35/AS13)*100)</f>
      </c>
      <c r="AT37" s="30">
        <f>IF(AS35="","","%")</f>
      </c>
      <c r="AU37" s="30"/>
      <c r="AV37" s="462">
        <f>IF(AV35="","",(AV35/AV13)*100)</f>
      </c>
      <c r="AW37" s="30">
        <f>IF(AV35="","","%")</f>
      </c>
      <c r="AX37" s="30"/>
      <c r="AY37" s="462">
        <f>IF(AY35="","",(AY35/AY13)*100)</f>
      </c>
      <c r="AZ37" s="30">
        <f>IF(AY35="","","%")</f>
      </c>
      <c r="BA37" s="30"/>
      <c r="BB37" s="462">
        <f>IF(BB35="","",(BB35/BB13)*100)</f>
      </c>
      <c r="BC37" s="30">
        <f>IF(BB35="","","%")</f>
      </c>
      <c r="BD37" s="30"/>
    </row>
    <row r="38" spans="1:31" ht="15" customHeight="1">
      <c r="A38" s="30"/>
      <c r="B38" s="30"/>
      <c r="C38" s="30"/>
      <c r="D38" s="30"/>
      <c r="E38" s="30"/>
      <c r="F38" s="30"/>
      <c r="G38" s="30"/>
      <c r="H38" s="30"/>
      <c r="I38" s="30"/>
      <c r="J38" s="692" t="s">
        <v>159</v>
      </c>
      <c r="K38" s="692"/>
      <c r="L38" s="692"/>
      <c r="M38" s="692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ht="15" customHeight="1">
      <c r="A39" s="30"/>
      <c r="B39" s="30"/>
      <c r="C39" s="30"/>
      <c r="D39" s="30"/>
      <c r="E39" s="30"/>
      <c r="F39" s="30"/>
      <c r="G39" s="30"/>
      <c r="H39" s="30"/>
      <c r="I39" s="30"/>
      <c r="J39" s="693" t="s">
        <v>160</v>
      </c>
      <c r="K39" s="34"/>
      <c r="L39" s="34"/>
      <c r="M39" s="34"/>
      <c r="N39" s="33"/>
      <c r="O39" s="34"/>
      <c r="P39" s="34"/>
      <c r="Q39" s="361"/>
      <c r="R39" s="34"/>
      <c r="S39" s="35"/>
      <c r="T39" s="33"/>
      <c r="U39" s="34"/>
      <c r="V39" s="34"/>
      <c r="W39" s="361"/>
      <c r="X39" s="34"/>
      <c r="Y39" s="35"/>
      <c r="Z39" s="696" t="s">
        <v>161</v>
      </c>
      <c r="AA39" s="697"/>
      <c r="AB39" s="697"/>
      <c r="AC39" s="361"/>
      <c r="AD39" s="34"/>
      <c r="AE39" s="35"/>
    </row>
    <row r="40" spans="1:31" ht="15" customHeight="1">
      <c r="A40" s="30"/>
      <c r="B40" s="30"/>
      <c r="C40" s="30"/>
      <c r="D40" s="30"/>
      <c r="E40" s="30"/>
      <c r="F40" s="30"/>
      <c r="G40" s="30"/>
      <c r="H40" s="30"/>
      <c r="I40" s="30"/>
      <c r="J40" s="694"/>
      <c r="K40" s="37"/>
      <c r="L40" s="37"/>
      <c r="M40" s="38"/>
      <c r="N40" s="687" t="s">
        <v>375</v>
      </c>
      <c r="O40" s="688"/>
      <c r="P40" s="688"/>
      <c r="Q40" s="689">
        <f>K41-Q43</f>
        <v>0</v>
      </c>
      <c r="R40" s="690"/>
      <c r="S40" s="691"/>
      <c r="T40" s="687" t="s">
        <v>376</v>
      </c>
      <c r="U40" s="688"/>
      <c r="V40" s="688"/>
      <c r="W40" s="675"/>
      <c r="X40" s="676"/>
      <c r="Y40" s="677"/>
      <c r="Z40" s="37"/>
      <c r="AA40" s="37"/>
      <c r="AB40" s="37"/>
      <c r="AC40" s="678">
        <f>IF(W40=0,Q40,Q40/W40)</f>
        <v>0</v>
      </c>
      <c r="AD40" s="679"/>
      <c r="AE40" s="680"/>
    </row>
    <row r="41" spans="1:31" ht="15" customHeight="1">
      <c r="A41" s="30"/>
      <c r="B41" s="30"/>
      <c r="C41" s="30"/>
      <c r="D41" s="30"/>
      <c r="E41" s="30"/>
      <c r="F41" s="30"/>
      <c r="G41" s="30"/>
      <c r="H41" s="30"/>
      <c r="I41" s="30"/>
      <c r="J41" s="694"/>
      <c r="K41" s="681">
        <f>'労働時間'!S9</f>
        <v>0</v>
      </c>
      <c r="L41" s="681"/>
      <c r="M41" s="682"/>
      <c r="N41" s="40"/>
      <c r="O41" s="41"/>
      <c r="P41" s="41"/>
      <c r="Q41" s="362"/>
      <c r="R41" s="41"/>
      <c r="S41" s="42" t="s">
        <v>377</v>
      </c>
      <c r="T41" s="40"/>
      <c r="U41" s="41"/>
      <c r="V41" s="41"/>
      <c r="W41" s="362"/>
      <c r="X41" s="41"/>
      <c r="Y41" s="42" t="s">
        <v>378</v>
      </c>
      <c r="Z41" s="684" t="s">
        <v>379</v>
      </c>
      <c r="AA41" s="685"/>
      <c r="AB41" s="685"/>
      <c r="AC41" s="362"/>
      <c r="AD41" s="41"/>
      <c r="AE41" s="42" t="s">
        <v>380</v>
      </c>
    </row>
    <row r="42" spans="1:31" ht="15" customHeight="1">
      <c r="A42" s="30"/>
      <c r="B42" s="30"/>
      <c r="C42" s="30"/>
      <c r="D42" s="30"/>
      <c r="E42" s="30"/>
      <c r="F42" s="30"/>
      <c r="G42" s="30"/>
      <c r="H42" s="30"/>
      <c r="I42" s="30"/>
      <c r="J42" s="694"/>
      <c r="K42" s="681"/>
      <c r="L42" s="681"/>
      <c r="M42" s="682"/>
      <c r="N42" s="36"/>
      <c r="O42" s="37"/>
      <c r="P42" s="37"/>
      <c r="Q42" s="363"/>
      <c r="R42" s="37"/>
      <c r="S42" s="39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:31" ht="15" customHeight="1">
      <c r="A43" s="30"/>
      <c r="B43" s="30"/>
      <c r="C43" s="30"/>
      <c r="D43" s="30"/>
      <c r="E43" s="30"/>
      <c r="F43" s="30"/>
      <c r="G43" s="30"/>
      <c r="H43" s="30"/>
      <c r="I43" s="30"/>
      <c r="J43" s="694"/>
      <c r="K43" s="37"/>
      <c r="L43" s="37"/>
      <c r="M43" s="38" t="s">
        <v>381</v>
      </c>
      <c r="N43" s="687" t="s">
        <v>382</v>
      </c>
      <c r="O43" s="688"/>
      <c r="P43" s="688"/>
      <c r="Q43" s="689">
        <f>'労働時間'!S23</f>
        <v>0</v>
      </c>
      <c r="R43" s="690"/>
      <c r="S43" s="691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:31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695"/>
      <c r="K44" s="41"/>
      <c r="L44" s="41"/>
      <c r="M44" s="41"/>
      <c r="N44" s="40"/>
      <c r="O44" s="41"/>
      <c r="P44" s="41"/>
      <c r="Q44" s="362"/>
      <c r="R44" s="41"/>
      <c r="S44" s="42" t="s">
        <v>377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ht="4.5" customHeight="1"/>
  </sheetData>
  <sheetProtection/>
  <protectedRanges>
    <protectedRange sqref="AQ34 AT17:AT34 AW17:AW34 AZ17:AZ34 BC17:BC34 AP17:AQ33 AM17:AN33 AS17:AS33 AV17:AV33 AY17:AY33 BB17:BB33" name="範囲10"/>
    <protectedRange sqref="AM5:BD10" name="範囲9"/>
    <protectedRange sqref="N7:AE7" name="範囲4"/>
  </protectedRanges>
  <mergeCells count="493">
    <mergeCell ref="N43:P43"/>
    <mergeCell ref="Q43:S43"/>
    <mergeCell ref="AT35:AU35"/>
    <mergeCell ref="J38:M38"/>
    <mergeCell ref="J39:J44"/>
    <mergeCell ref="Z39:AB39"/>
    <mergeCell ref="N40:P40"/>
    <mergeCell ref="Q40:S40"/>
    <mergeCell ref="Q35:R35"/>
    <mergeCell ref="T35:U35"/>
    <mergeCell ref="W40:Y40"/>
    <mergeCell ref="AC40:AE40"/>
    <mergeCell ref="K41:M42"/>
    <mergeCell ref="Z35:AA35"/>
    <mergeCell ref="AC35:AD35"/>
    <mergeCell ref="Z41:AB41"/>
    <mergeCell ref="W35:X35"/>
    <mergeCell ref="T40:V40"/>
    <mergeCell ref="N35:O35"/>
    <mergeCell ref="Z34:AA34"/>
    <mergeCell ref="N33:O33"/>
    <mergeCell ref="B33:D33"/>
    <mergeCell ref="Q33:R33"/>
    <mergeCell ref="T33:U33"/>
    <mergeCell ref="AW35:AX35"/>
    <mergeCell ref="AT34:AU34"/>
    <mergeCell ref="AW33:AX33"/>
    <mergeCell ref="W33:X33"/>
    <mergeCell ref="AJ33:AL33"/>
    <mergeCell ref="AT33:AU33"/>
    <mergeCell ref="AW34:AX34"/>
    <mergeCell ref="E33:G33"/>
    <mergeCell ref="K33:M33"/>
    <mergeCell ref="A34:D34"/>
    <mergeCell ref="E34:G34"/>
    <mergeCell ref="J34:M34"/>
    <mergeCell ref="N34:O34"/>
    <mergeCell ref="Q34:R34"/>
    <mergeCell ref="T34:U34"/>
    <mergeCell ref="AC34:AD34"/>
    <mergeCell ref="BC35:BD35"/>
    <mergeCell ref="A36:D36"/>
    <mergeCell ref="E36:G36"/>
    <mergeCell ref="AI35:AL35"/>
    <mergeCell ref="AN35:AO35"/>
    <mergeCell ref="AQ35:AR35"/>
    <mergeCell ref="A35:D35"/>
    <mergeCell ref="E35:G35"/>
    <mergeCell ref="J35:M35"/>
    <mergeCell ref="AZ35:BA35"/>
    <mergeCell ref="BC34:BD34"/>
    <mergeCell ref="W34:X34"/>
    <mergeCell ref="AI31:AI33"/>
    <mergeCell ref="Z32:AA32"/>
    <mergeCell ref="AI34:AL34"/>
    <mergeCell ref="AN34:AO34"/>
    <mergeCell ref="AQ34:AR34"/>
    <mergeCell ref="AJ32:AL32"/>
    <mergeCell ref="AC32:AD32"/>
    <mergeCell ref="AJ31:AL31"/>
    <mergeCell ref="BC31:BD31"/>
    <mergeCell ref="AN31:AO31"/>
    <mergeCell ref="AQ31:AR31"/>
    <mergeCell ref="AT31:AU31"/>
    <mergeCell ref="BC33:BD33"/>
    <mergeCell ref="BC32:BD32"/>
    <mergeCell ref="AT32:AU32"/>
    <mergeCell ref="AW31:AX31"/>
    <mergeCell ref="AZ31:BA31"/>
    <mergeCell ref="AW32:AX32"/>
    <mergeCell ref="AZ33:BA33"/>
    <mergeCell ref="AZ34:BA34"/>
    <mergeCell ref="AZ32:BA32"/>
    <mergeCell ref="Q31:R31"/>
    <mergeCell ref="T31:U31"/>
    <mergeCell ref="W31:X31"/>
    <mergeCell ref="AC31:AD31"/>
    <mergeCell ref="W32:X32"/>
    <mergeCell ref="Z31:AA31"/>
    <mergeCell ref="B32:D32"/>
    <mergeCell ref="E32:G32"/>
    <mergeCell ref="K32:M32"/>
    <mergeCell ref="Z33:AA33"/>
    <mergeCell ref="AN33:AO33"/>
    <mergeCell ref="AQ33:AR33"/>
    <mergeCell ref="T32:U32"/>
    <mergeCell ref="AN32:AO32"/>
    <mergeCell ref="AQ32:AR32"/>
    <mergeCell ref="AC33:AD33"/>
    <mergeCell ref="E30:G30"/>
    <mergeCell ref="N30:O30"/>
    <mergeCell ref="Q30:R30"/>
    <mergeCell ref="A30:D30"/>
    <mergeCell ref="J30:M30"/>
    <mergeCell ref="A31:A33"/>
    <mergeCell ref="B31:D31"/>
    <mergeCell ref="E31:G31"/>
    <mergeCell ref="J31:J33"/>
    <mergeCell ref="K31:M31"/>
    <mergeCell ref="W30:X30"/>
    <mergeCell ref="Z30:AA30"/>
    <mergeCell ref="T30:U30"/>
    <mergeCell ref="N32:O32"/>
    <mergeCell ref="Q32:R32"/>
    <mergeCell ref="N31:O31"/>
    <mergeCell ref="AI30:AL30"/>
    <mergeCell ref="AC30:AD30"/>
    <mergeCell ref="AN30:AO30"/>
    <mergeCell ref="AQ30:AR30"/>
    <mergeCell ref="AZ29:BA29"/>
    <mergeCell ref="BC29:BD29"/>
    <mergeCell ref="AC29:AD29"/>
    <mergeCell ref="AJ29:AL29"/>
    <mergeCell ref="AZ30:BA30"/>
    <mergeCell ref="BC30:BD30"/>
    <mergeCell ref="B29:D29"/>
    <mergeCell ref="E29:G29"/>
    <mergeCell ref="K29:M29"/>
    <mergeCell ref="N29:O29"/>
    <mergeCell ref="Q29:R29"/>
    <mergeCell ref="AN29:AO29"/>
    <mergeCell ref="T29:U29"/>
    <mergeCell ref="W29:X29"/>
    <mergeCell ref="Z29:AA29"/>
    <mergeCell ref="AT30:AU30"/>
    <mergeCell ref="AW30:AX30"/>
    <mergeCell ref="AQ29:AR29"/>
    <mergeCell ref="AT29:AU29"/>
    <mergeCell ref="AW29:AX29"/>
    <mergeCell ref="BC27:BD27"/>
    <mergeCell ref="BC28:BD28"/>
    <mergeCell ref="B28:D28"/>
    <mergeCell ref="E28:G28"/>
    <mergeCell ref="K28:M28"/>
    <mergeCell ref="N28:O28"/>
    <mergeCell ref="Q28:R28"/>
    <mergeCell ref="AZ28:BA28"/>
    <mergeCell ref="W28:X28"/>
    <mergeCell ref="AT28:AU28"/>
    <mergeCell ref="Z28:AA28"/>
    <mergeCell ref="AC28:AD28"/>
    <mergeCell ref="AJ27:AL27"/>
    <mergeCell ref="AN27:AO27"/>
    <mergeCell ref="AQ27:AR27"/>
    <mergeCell ref="AT27:AU27"/>
    <mergeCell ref="AW27:AX27"/>
    <mergeCell ref="AZ27:BA27"/>
    <mergeCell ref="AJ28:AL28"/>
    <mergeCell ref="AN28:AO28"/>
    <mergeCell ref="AW28:AX28"/>
    <mergeCell ref="Q27:R27"/>
    <mergeCell ref="T27:U27"/>
    <mergeCell ref="T26:U26"/>
    <mergeCell ref="W26:X26"/>
    <mergeCell ref="W27:X27"/>
    <mergeCell ref="AQ28:AR28"/>
    <mergeCell ref="T28:U28"/>
    <mergeCell ref="AC27:AD27"/>
    <mergeCell ref="B26:D26"/>
    <mergeCell ref="E26:G26"/>
    <mergeCell ref="K26:M26"/>
    <mergeCell ref="N26:O26"/>
    <mergeCell ref="Q26:R26"/>
    <mergeCell ref="B27:D27"/>
    <mergeCell ref="E27:G27"/>
    <mergeCell ref="K27:M27"/>
    <mergeCell ref="N27:O27"/>
    <mergeCell ref="Z26:AA26"/>
    <mergeCell ref="Z25:AA25"/>
    <mergeCell ref="W25:X25"/>
    <mergeCell ref="W24:X24"/>
    <mergeCell ref="Z24:AA24"/>
    <mergeCell ref="Z27:AA27"/>
    <mergeCell ref="AW25:AX25"/>
    <mergeCell ref="Q24:R24"/>
    <mergeCell ref="T24:U24"/>
    <mergeCell ref="AC25:AD25"/>
    <mergeCell ref="AJ25:AL25"/>
    <mergeCell ref="Q25:R25"/>
    <mergeCell ref="AQ25:AR25"/>
    <mergeCell ref="AI24:AI26"/>
    <mergeCell ref="AQ24:AR24"/>
    <mergeCell ref="AC26:AD26"/>
    <mergeCell ref="AJ26:AL26"/>
    <mergeCell ref="T25:U25"/>
    <mergeCell ref="AQ26:AR26"/>
    <mergeCell ref="AN26:AO26"/>
    <mergeCell ref="AN25:AO25"/>
    <mergeCell ref="BC24:BD24"/>
    <mergeCell ref="AT25:AU25"/>
    <mergeCell ref="BC25:BD25"/>
    <mergeCell ref="BC26:BD26"/>
    <mergeCell ref="AJ24:AL24"/>
    <mergeCell ref="K25:M25"/>
    <mergeCell ref="N25:O25"/>
    <mergeCell ref="AZ23:BA23"/>
    <mergeCell ref="AT26:AU26"/>
    <mergeCell ref="AW26:AX26"/>
    <mergeCell ref="AZ26:BA26"/>
    <mergeCell ref="AZ25:BA25"/>
    <mergeCell ref="AT24:AU24"/>
    <mergeCell ref="AW24:AX24"/>
    <mergeCell ref="AZ24:BA24"/>
    <mergeCell ref="W23:X23"/>
    <mergeCell ref="Z23:AA23"/>
    <mergeCell ref="A24:A26"/>
    <mergeCell ref="B24:D24"/>
    <mergeCell ref="E24:G24"/>
    <mergeCell ref="J24:J26"/>
    <mergeCell ref="K24:M24"/>
    <mergeCell ref="N24:O24"/>
    <mergeCell ref="B25:D25"/>
    <mergeCell ref="E25:G25"/>
    <mergeCell ref="B23:D23"/>
    <mergeCell ref="E23:G23"/>
    <mergeCell ref="K23:M23"/>
    <mergeCell ref="N23:O23"/>
    <mergeCell ref="Q23:R23"/>
    <mergeCell ref="T23:U23"/>
    <mergeCell ref="AN24:AO24"/>
    <mergeCell ref="AC23:AD23"/>
    <mergeCell ref="AJ23:AL23"/>
    <mergeCell ref="AN23:AO23"/>
    <mergeCell ref="AC24:AD24"/>
    <mergeCell ref="AZ22:BA22"/>
    <mergeCell ref="AQ23:AR23"/>
    <mergeCell ref="AW22:AX22"/>
    <mergeCell ref="AC22:AD22"/>
    <mergeCell ref="AJ22:AL22"/>
    <mergeCell ref="BC23:BD23"/>
    <mergeCell ref="AT23:AU23"/>
    <mergeCell ref="AW23:AX23"/>
    <mergeCell ref="BC22:BD22"/>
    <mergeCell ref="AZ21:BA21"/>
    <mergeCell ref="BC21:BD21"/>
    <mergeCell ref="AW21:AX21"/>
    <mergeCell ref="B22:D22"/>
    <mergeCell ref="E22:G22"/>
    <mergeCell ref="K22:M22"/>
    <mergeCell ref="N22:O22"/>
    <mergeCell ref="Q22:R22"/>
    <mergeCell ref="Z21:AA21"/>
    <mergeCell ref="B21:D21"/>
    <mergeCell ref="E21:G21"/>
    <mergeCell ref="K21:M21"/>
    <mergeCell ref="N21:O21"/>
    <mergeCell ref="AQ21:AR21"/>
    <mergeCell ref="T22:U22"/>
    <mergeCell ref="AQ20:AR20"/>
    <mergeCell ref="AT20:AU20"/>
    <mergeCell ref="AT21:AU21"/>
    <mergeCell ref="AQ22:AR22"/>
    <mergeCell ref="AT22:AU22"/>
    <mergeCell ref="W21:X21"/>
    <mergeCell ref="AC20:AD20"/>
    <mergeCell ref="AN21:AO21"/>
    <mergeCell ref="AC21:AD21"/>
    <mergeCell ref="AJ21:AL21"/>
    <mergeCell ref="W20:X20"/>
    <mergeCell ref="W22:X22"/>
    <mergeCell ref="Z22:AA22"/>
    <mergeCell ref="AN20:AO20"/>
    <mergeCell ref="AN22:AO22"/>
    <mergeCell ref="Q21:R21"/>
    <mergeCell ref="T21:U21"/>
    <mergeCell ref="AZ20:BA20"/>
    <mergeCell ref="Z20:AA20"/>
    <mergeCell ref="AW19:AX19"/>
    <mergeCell ref="AC19:AD19"/>
    <mergeCell ref="AJ19:AL19"/>
    <mergeCell ref="AN19:AO19"/>
    <mergeCell ref="AQ19:AR19"/>
    <mergeCell ref="AW20:AX20"/>
    <mergeCell ref="AT19:AU19"/>
    <mergeCell ref="AJ20:AL20"/>
    <mergeCell ref="B20:D20"/>
    <mergeCell ref="E20:G20"/>
    <mergeCell ref="K20:M20"/>
    <mergeCell ref="N20:O20"/>
    <mergeCell ref="Q20:R20"/>
    <mergeCell ref="T20:U20"/>
    <mergeCell ref="BC20:BD20"/>
    <mergeCell ref="B19:D19"/>
    <mergeCell ref="E19:G19"/>
    <mergeCell ref="K19:M19"/>
    <mergeCell ref="N19:O19"/>
    <mergeCell ref="Q19:R19"/>
    <mergeCell ref="T19:U19"/>
    <mergeCell ref="Z19:AA19"/>
    <mergeCell ref="AZ19:BA19"/>
    <mergeCell ref="BC19:BD19"/>
    <mergeCell ref="AC18:AD18"/>
    <mergeCell ref="AJ18:AL18"/>
    <mergeCell ref="W19:X19"/>
    <mergeCell ref="Z18:AA18"/>
    <mergeCell ref="A16:D16"/>
    <mergeCell ref="AC16:AE16"/>
    <mergeCell ref="E16:H16"/>
    <mergeCell ref="W16:Y16"/>
    <mergeCell ref="Z16:AB16"/>
    <mergeCell ref="J16:M16"/>
    <mergeCell ref="AM16:AO16"/>
    <mergeCell ref="AI16:AL16"/>
    <mergeCell ref="AP16:AR16"/>
    <mergeCell ref="AT18:AU18"/>
    <mergeCell ref="AW17:AX17"/>
    <mergeCell ref="AZ18:BA18"/>
    <mergeCell ref="AZ17:BA17"/>
    <mergeCell ref="AJ17:AL17"/>
    <mergeCell ref="AN17:AO17"/>
    <mergeCell ref="AQ17:AR17"/>
    <mergeCell ref="BC18:BD18"/>
    <mergeCell ref="AN18:AO18"/>
    <mergeCell ref="AQ18:AR18"/>
    <mergeCell ref="AW18:AX18"/>
    <mergeCell ref="B17:D17"/>
    <mergeCell ref="E17:G17"/>
    <mergeCell ref="K17:M17"/>
    <mergeCell ref="N17:O17"/>
    <mergeCell ref="Q17:R17"/>
    <mergeCell ref="T17:U17"/>
    <mergeCell ref="BC17:BD17"/>
    <mergeCell ref="B18:D18"/>
    <mergeCell ref="E18:G18"/>
    <mergeCell ref="K18:M18"/>
    <mergeCell ref="N18:O18"/>
    <mergeCell ref="Q18:R18"/>
    <mergeCell ref="T18:U18"/>
    <mergeCell ref="W18:X18"/>
    <mergeCell ref="W17:X17"/>
    <mergeCell ref="AC17:AD17"/>
    <mergeCell ref="AT17:AU17"/>
    <mergeCell ref="BB15:BD15"/>
    <mergeCell ref="AZ13:BA13"/>
    <mergeCell ref="N13:O13"/>
    <mergeCell ref="Q13:R13"/>
    <mergeCell ref="T13:U13"/>
    <mergeCell ref="Z17:AA17"/>
    <mergeCell ref="N16:P16"/>
    <mergeCell ref="Q16:S16"/>
    <mergeCell ref="T16:V16"/>
    <mergeCell ref="AS16:AU16"/>
    <mergeCell ref="AV16:AX16"/>
    <mergeCell ref="AY16:BA16"/>
    <mergeCell ref="BB16:BD16"/>
    <mergeCell ref="AT13:AU13"/>
    <mergeCell ref="AW13:AX13"/>
    <mergeCell ref="K12:M12"/>
    <mergeCell ref="BC13:BD13"/>
    <mergeCell ref="A15:H15"/>
    <mergeCell ref="N15:P15"/>
    <mergeCell ref="Q15:S15"/>
    <mergeCell ref="T15:V15"/>
    <mergeCell ref="W15:Y15"/>
    <mergeCell ref="Z15:AB15"/>
    <mergeCell ref="W13:X13"/>
    <mergeCell ref="Z13:AA13"/>
    <mergeCell ref="AC13:AD13"/>
    <mergeCell ref="AP15:AR15"/>
    <mergeCell ref="AI13:AL13"/>
    <mergeCell ref="AN13:AO13"/>
    <mergeCell ref="AQ13:AR13"/>
    <mergeCell ref="AC15:AE15"/>
    <mergeCell ref="AM15:AO15"/>
    <mergeCell ref="A13:D13"/>
    <mergeCell ref="E13:G13"/>
    <mergeCell ref="AS15:AU15"/>
    <mergeCell ref="AV15:AX15"/>
    <mergeCell ref="AY15:BA15"/>
    <mergeCell ref="B12:D12"/>
    <mergeCell ref="E12:G12"/>
    <mergeCell ref="N12:O12"/>
    <mergeCell ref="Q12:R12"/>
    <mergeCell ref="T12:U12"/>
    <mergeCell ref="W12:X12"/>
    <mergeCell ref="Z12:AA12"/>
    <mergeCell ref="AC12:AD12"/>
    <mergeCell ref="AC11:AD11"/>
    <mergeCell ref="AN12:AO12"/>
    <mergeCell ref="AQ12:AR12"/>
    <mergeCell ref="AN11:AO11"/>
    <mergeCell ref="AQ11:AR11"/>
    <mergeCell ref="AJ11:AL11"/>
    <mergeCell ref="AT12:AU12"/>
    <mergeCell ref="AW12:AX12"/>
    <mergeCell ref="AT11:AU11"/>
    <mergeCell ref="AW11:AX11"/>
    <mergeCell ref="AZ12:BA12"/>
    <mergeCell ref="BC12:BD12"/>
    <mergeCell ref="AZ11:BA11"/>
    <mergeCell ref="BC11:BD11"/>
    <mergeCell ref="AZ10:BA10"/>
    <mergeCell ref="BC10:BD10"/>
    <mergeCell ref="B11:D11"/>
    <mergeCell ref="E11:G11"/>
    <mergeCell ref="K11:M11"/>
    <mergeCell ref="N11:O11"/>
    <mergeCell ref="Q11:R11"/>
    <mergeCell ref="T11:U11"/>
    <mergeCell ref="W11:X11"/>
    <mergeCell ref="Z11:AA11"/>
    <mergeCell ref="AC10:AD10"/>
    <mergeCell ref="AJ10:AL10"/>
    <mergeCell ref="AN10:AO10"/>
    <mergeCell ref="AQ10:AR10"/>
    <mergeCell ref="AT10:AU10"/>
    <mergeCell ref="AW10:AX10"/>
    <mergeCell ref="B10:D10"/>
    <mergeCell ref="E10:G10"/>
    <mergeCell ref="K10:M10"/>
    <mergeCell ref="N10:O10"/>
    <mergeCell ref="Q10:R10"/>
    <mergeCell ref="T10:U10"/>
    <mergeCell ref="W10:X10"/>
    <mergeCell ref="Z10:AA10"/>
    <mergeCell ref="AT9:AU9"/>
    <mergeCell ref="BC8:BD8"/>
    <mergeCell ref="B9:D9"/>
    <mergeCell ref="E9:G9"/>
    <mergeCell ref="K9:M9"/>
    <mergeCell ref="N9:O9"/>
    <mergeCell ref="Q9:R9"/>
    <mergeCell ref="T9:U9"/>
    <mergeCell ref="W9:X9"/>
    <mergeCell ref="Z9:AA9"/>
    <mergeCell ref="AC8:AD8"/>
    <mergeCell ref="AJ8:AL8"/>
    <mergeCell ref="AN8:AO8"/>
    <mergeCell ref="AQ8:AR8"/>
    <mergeCell ref="AC9:AD9"/>
    <mergeCell ref="AJ9:AL9"/>
    <mergeCell ref="AN9:AO9"/>
    <mergeCell ref="AQ9:AR9"/>
    <mergeCell ref="AZ9:BA9"/>
    <mergeCell ref="BC9:BD9"/>
    <mergeCell ref="AW9:AX9"/>
    <mergeCell ref="B8:D8"/>
    <mergeCell ref="E8:G8"/>
    <mergeCell ref="K8:M8"/>
    <mergeCell ref="N8:O8"/>
    <mergeCell ref="Q8:R8"/>
    <mergeCell ref="T8:U8"/>
    <mergeCell ref="W8:X8"/>
    <mergeCell ref="Z8:AA8"/>
    <mergeCell ref="AZ8:BA8"/>
    <mergeCell ref="AM5:AO5"/>
    <mergeCell ref="AP5:AR5"/>
    <mergeCell ref="AS5:AU5"/>
    <mergeCell ref="AV5:AX5"/>
    <mergeCell ref="AY5:BA5"/>
    <mergeCell ref="AW8:AX8"/>
    <mergeCell ref="Z7:AA7"/>
    <mergeCell ref="AC6:AE6"/>
    <mergeCell ref="BB5:BD5"/>
    <mergeCell ref="AI5:AL5"/>
    <mergeCell ref="AJ12:AL12"/>
    <mergeCell ref="Z5:AB5"/>
    <mergeCell ref="AC5:AE5"/>
    <mergeCell ref="AY6:BA6"/>
    <mergeCell ref="BB6:BD6"/>
    <mergeCell ref="AS6:AU6"/>
    <mergeCell ref="AV6:AX6"/>
    <mergeCell ref="AT8:AU8"/>
    <mergeCell ref="AM6:AO6"/>
    <mergeCell ref="AP6:AR6"/>
    <mergeCell ref="AI6:AL6"/>
    <mergeCell ref="AC7:AD7"/>
    <mergeCell ref="AJ7:AL7"/>
    <mergeCell ref="Z6:AB6"/>
    <mergeCell ref="J13:M13"/>
    <mergeCell ref="A1:F1"/>
    <mergeCell ref="I1:J1"/>
    <mergeCell ref="L1:P1"/>
    <mergeCell ref="A5:H5"/>
    <mergeCell ref="W6:Y6"/>
    <mergeCell ref="A6:D6"/>
    <mergeCell ref="J5:M5"/>
    <mergeCell ref="J6:M6"/>
    <mergeCell ref="E6:H6"/>
    <mergeCell ref="Q5:S5"/>
    <mergeCell ref="T5:V5"/>
    <mergeCell ref="W5:Y5"/>
    <mergeCell ref="N5:P5"/>
    <mergeCell ref="N6:P6"/>
    <mergeCell ref="Q6:S6"/>
    <mergeCell ref="T6:V6"/>
    <mergeCell ref="W7:X7"/>
    <mergeCell ref="B7:D7"/>
    <mergeCell ref="E7:G7"/>
    <mergeCell ref="K7:M7"/>
    <mergeCell ref="N7:O7"/>
    <mergeCell ref="Q7:R7"/>
    <mergeCell ref="T7:U7"/>
  </mergeCells>
  <dataValidations count="1">
    <dataValidation type="list" allowBlank="1" sqref="AM5:BD5">
      <formula1>作目</formula1>
    </dataValidation>
  </dataValidations>
  <printOptions/>
  <pageMargins left="0.51" right="0.787" top="0.57" bottom="0.39" header="0.512" footer="0.512"/>
  <pageSetup horizontalDpi="300" verticalDpi="300" orientation="landscape" paperSize="9" scale="8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35"/>
  <sheetViews>
    <sheetView zoomScale="90" zoomScaleNormal="90" zoomScalePageLayoutView="0" workbookViewId="0" topLeftCell="A16">
      <selection activeCell="F34" sqref="F34"/>
    </sheetView>
  </sheetViews>
  <sheetFormatPr defaultColWidth="4.125" defaultRowHeight="13.5"/>
  <cols>
    <col min="1" max="1" width="4.125" style="13" customWidth="1"/>
    <col min="2" max="2" width="5.625" style="13" customWidth="1"/>
    <col min="3" max="3" width="3.50390625" style="13" customWidth="1"/>
    <col min="4" max="4" width="4.625" style="13" customWidth="1"/>
    <col min="5" max="5" width="7.625" style="13" customWidth="1"/>
    <col min="6" max="6" width="2.625" style="13" customWidth="1"/>
    <col min="7" max="18" width="7.875" style="13" customWidth="1"/>
    <col min="19" max="19" width="8.625" style="13" customWidth="1"/>
    <col min="20" max="22" width="4.125" style="13" customWidth="1"/>
    <col min="23" max="23" width="10.50390625" style="13" customWidth="1"/>
    <col min="24" max="35" width="5.75390625" style="13" customWidth="1"/>
    <col min="36" max="16384" width="4.125" style="13" customWidth="1"/>
  </cols>
  <sheetData>
    <row r="1" spans="1:6" s="12" customFormat="1" ht="20.25" customHeight="1">
      <c r="A1" s="132">
        <v>1</v>
      </c>
      <c r="B1" s="135" t="s">
        <v>342</v>
      </c>
      <c r="C1" s="135"/>
      <c r="D1" s="135"/>
      <c r="E1" s="135"/>
      <c r="F1" s="11"/>
    </row>
    <row r="2" spans="1:19" ht="23.25" customHeight="1">
      <c r="A2" s="366"/>
      <c r="B2" s="717" t="s">
        <v>352</v>
      </c>
      <c r="C2" s="718"/>
      <c r="D2" s="718"/>
      <c r="E2" s="718" t="s">
        <v>353</v>
      </c>
      <c r="F2" s="719"/>
      <c r="G2" s="385" t="s">
        <v>354</v>
      </c>
      <c r="H2" s="367" t="s">
        <v>355</v>
      </c>
      <c r="I2" s="367" t="s">
        <v>356</v>
      </c>
      <c r="J2" s="367" t="s">
        <v>357</v>
      </c>
      <c r="K2" s="367" t="s">
        <v>358</v>
      </c>
      <c r="L2" s="367" t="s">
        <v>359</v>
      </c>
      <c r="M2" s="367" t="s">
        <v>360</v>
      </c>
      <c r="N2" s="367" t="s">
        <v>361</v>
      </c>
      <c r="O2" s="367" t="s">
        <v>362</v>
      </c>
      <c r="P2" s="367" t="s">
        <v>363</v>
      </c>
      <c r="Q2" s="367" t="s">
        <v>364</v>
      </c>
      <c r="R2" s="386" t="s">
        <v>365</v>
      </c>
      <c r="S2" s="469" t="s">
        <v>640</v>
      </c>
    </row>
    <row r="3" spans="1:37" ht="15" customHeight="1">
      <c r="A3" s="741" t="s">
        <v>0</v>
      </c>
      <c r="B3" s="745" t="str">
        <f>IF('目標'!AM5=0,"",'目標'!AM5)</f>
        <v>サトウキビ(春+株)</v>
      </c>
      <c r="C3" s="746"/>
      <c r="D3" s="746"/>
      <c r="E3" s="372">
        <f>'目標'!N7</f>
        <v>0</v>
      </c>
      <c r="F3" s="375" t="e">
        <f>IF(#REF!=0,"",#REF!)</f>
        <v>#REF!</v>
      </c>
      <c r="G3" s="387">
        <f aca="true" t="shared" si="0" ref="G3:R3">$E$3/10*G28</f>
        <v>0</v>
      </c>
      <c r="H3" s="373">
        <f t="shared" si="0"/>
        <v>0</v>
      </c>
      <c r="I3" s="373">
        <f t="shared" si="0"/>
        <v>0</v>
      </c>
      <c r="J3" s="373">
        <f t="shared" si="0"/>
        <v>0</v>
      </c>
      <c r="K3" s="373">
        <f t="shared" si="0"/>
        <v>0</v>
      </c>
      <c r="L3" s="373">
        <f t="shared" si="0"/>
        <v>0</v>
      </c>
      <c r="M3" s="373">
        <f t="shared" si="0"/>
        <v>0</v>
      </c>
      <c r="N3" s="373">
        <f t="shared" si="0"/>
        <v>0</v>
      </c>
      <c r="O3" s="373">
        <f t="shared" si="0"/>
        <v>0</v>
      </c>
      <c r="P3" s="373">
        <f t="shared" si="0"/>
        <v>0</v>
      </c>
      <c r="Q3" s="373">
        <f t="shared" si="0"/>
        <v>0</v>
      </c>
      <c r="R3" s="388">
        <f t="shared" si="0"/>
        <v>0</v>
      </c>
      <c r="S3" s="379">
        <f>SUM(G3:R3)</f>
        <v>0</v>
      </c>
      <c r="AK3" s="27"/>
    </row>
    <row r="4" spans="1:37" ht="15" customHeight="1">
      <c r="A4" s="742"/>
      <c r="B4" s="701" t="str">
        <f>IF('目標'!AP5=0,"",'目標'!AP5)</f>
        <v>サトウキビ(夏)</v>
      </c>
      <c r="C4" s="702"/>
      <c r="D4" s="702"/>
      <c r="E4" s="364">
        <f>IF('目標'!Q7="","",'目標'!Q7)</f>
      </c>
      <c r="F4" s="376" t="e">
        <f>IF(#REF!=0,"",#REF!)</f>
        <v>#REF!</v>
      </c>
      <c r="G4" s="389">
        <f>IF($E4="","",$E4/10*G29)</f>
      </c>
      <c r="H4" s="54">
        <f aca="true" t="shared" si="1" ref="H4:R4">IF($E$4="","",$E$4/10*H29)</f>
      </c>
      <c r="I4" s="54">
        <f t="shared" si="1"/>
      </c>
      <c r="J4" s="54">
        <f t="shared" si="1"/>
      </c>
      <c r="K4" s="54">
        <f t="shared" si="1"/>
      </c>
      <c r="L4" s="54">
        <f t="shared" si="1"/>
      </c>
      <c r="M4" s="54">
        <f t="shared" si="1"/>
      </c>
      <c r="N4" s="54">
        <f t="shared" si="1"/>
      </c>
      <c r="O4" s="54">
        <f t="shared" si="1"/>
      </c>
      <c r="P4" s="54">
        <f t="shared" si="1"/>
      </c>
      <c r="Q4" s="54">
        <f t="shared" si="1"/>
      </c>
      <c r="R4" s="390">
        <f t="shared" si="1"/>
      </c>
      <c r="S4" s="380">
        <f>IF($E4="","",SUM(G4:R4))</f>
      </c>
      <c r="AK4" s="27"/>
    </row>
    <row r="5" spans="1:37" ht="15" customHeight="1">
      <c r="A5" s="742"/>
      <c r="B5" s="701">
        <f>IF('目標'!AS5=0,"",'目標'!AS5)</f>
      </c>
      <c r="C5" s="702"/>
      <c r="D5" s="702"/>
      <c r="E5" s="364">
        <f>IF('目標'!T7="","",'目標'!T7)</f>
      </c>
      <c r="F5" s="376" t="e">
        <f>IF(#REF!=0,"",#REF!)</f>
        <v>#REF!</v>
      </c>
      <c r="G5" s="389">
        <f>IF($E5="","",$E5/10*G30)</f>
      </c>
      <c r="H5" s="54">
        <f aca="true" t="shared" si="2" ref="H5:R5">IF($E5="","",$E5/10*H30)</f>
      </c>
      <c r="I5" s="54">
        <f t="shared" si="2"/>
      </c>
      <c r="J5" s="54">
        <f t="shared" si="2"/>
      </c>
      <c r="K5" s="54">
        <f t="shared" si="2"/>
      </c>
      <c r="L5" s="54">
        <f t="shared" si="2"/>
      </c>
      <c r="M5" s="54">
        <f t="shared" si="2"/>
      </c>
      <c r="N5" s="54">
        <f t="shared" si="2"/>
      </c>
      <c r="O5" s="54">
        <f t="shared" si="2"/>
      </c>
      <c r="P5" s="54">
        <f t="shared" si="2"/>
      </c>
      <c r="Q5" s="54">
        <f t="shared" si="2"/>
      </c>
      <c r="R5" s="390">
        <f t="shared" si="2"/>
      </c>
      <c r="S5" s="380">
        <f>IF(E5="","",SUM(G5:R5))</f>
      </c>
      <c r="AK5" s="27"/>
    </row>
    <row r="6" spans="1:37" ht="15" customHeight="1">
      <c r="A6" s="743"/>
      <c r="B6" s="701">
        <f>IF('目標'!AV5=0,"",'目標'!AV5)</f>
      </c>
      <c r="C6" s="702"/>
      <c r="D6" s="702"/>
      <c r="E6" s="364">
        <f>IF('目標'!W7="","",'目標'!W7)</f>
      </c>
      <c r="F6" s="376" t="e">
        <f>IF(#REF!=0,"",#REF!)</f>
        <v>#REF!</v>
      </c>
      <c r="G6" s="389">
        <f>IF($E6="","",$E6/10*G31)</f>
      </c>
      <c r="H6" s="54">
        <f aca="true" t="shared" si="3" ref="H6:R6">IF($E6="","",$E6/10*H31)</f>
      </c>
      <c r="I6" s="54">
        <f t="shared" si="3"/>
      </c>
      <c r="J6" s="54">
        <f t="shared" si="3"/>
      </c>
      <c r="K6" s="54">
        <f t="shared" si="3"/>
      </c>
      <c r="L6" s="54">
        <f t="shared" si="3"/>
      </c>
      <c r="M6" s="54">
        <f t="shared" si="3"/>
      </c>
      <c r="N6" s="54">
        <f t="shared" si="3"/>
      </c>
      <c r="O6" s="54">
        <f t="shared" si="3"/>
      </c>
      <c r="P6" s="54">
        <f t="shared" si="3"/>
      </c>
      <c r="Q6" s="54">
        <f t="shared" si="3"/>
      </c>
      <c r="R6" s="390">
        <f t="shared" si="3"/>
      </c>
      <c r="S6" s="380">
        <f>IF(E6="","",SUM(G6:R6))</f>
      </c>
      <c r="AK6" s="27"/>
    </row>
    <row r="7" spans="1:37" ht="15" customHeight="1">
      <c r="A7" s="743"/>
      <c r="B7" s="701">
        <f>IF('目標'!AY5=0,"",'目標'!AY5)</f>
      </c>
      <c r="C7" s="702"/>
      <c r="D7" s="702"/>
      <c r="E7" s="364">
        <f>IF('目標'!Z7="","",'目標'!Z7)</f>
      </c>
      <c r="F7" s="376" t="e">
        <f>IF(#REF!=0,"",#REF!)</f>
        <v>#REF!</v>
      </c>
      <c r="G7" s="389">
        <f>IF($E7="","",$E7/10*G32)</f>
      </c>
      <c r="H7" s="54">
        <f aca="true" t="shared" si="4" ref="H7:R7">IF($E7="","",$E7/10*H32)</f>
      </c>
      <c r="I7" s="54">
        <f t="shared" si="4"/>
      </c>
      <c r="J7" s="54">
        <f t="shared" si="4"/>
      </c>
      <c r="K7" s="54">
        <f t="shared" si="4"/>
      </c>
      <c r="L7" s="54">
        <f t="shared" si="4"/>
      </c>
      <c r="M7" s="54">
        <f t="shared" si="4"/>
      </c>
      <c r="N7" s="54">
        <f t="shared" si="4"/>
      </c>
      <c r="O7" s="54">
        <f t="shared" si="4"/>
      </c>
      <c r="P7" s="54">
        <f t="shared" si="4"/>
      </c>
      <c r="Q7" s="54">
        <f t="shared" si="4"/>
      </c>
      <c r="R7" s="390">
        <f t="shared" si="4"/>
      </c>
      <c r="S7" s="380">
        <f>IF(E7="","",SUM(G7:R7))</f>
      </c>
      <c r="AK7" s="27"/>
    </row>
    <row r="8" spans="1:37" ht="15" customHeight="1">
      <c r="A8" s="743"/>
      <c r="B8" s="736">
        <f>IF('目標'!BB5=0,"",'目標'!BB5)</f>
      </c>
      <c r="C8" s="737"/>
      <c r="D8" s="737"/>
      <c r="E8" s="368">
        <f>IF('目標'!AC7="","",'目標'!AC7)</f>
      </c>
      <c r="F8" s="377" t="e">
        <f>IF(#REF!=0,"",#REF!)</f>
        <v>#REF!</v>
      </c>
      <c r="G8" s="391">
        <f>IF($E8="","",$E8/10*G33)</f>
      </c>
      <c r="H8" s="369">
        <f aca="true" t="shared" si="5" ref="H8:R8">IF($E8="","",$E8/10*H33)</f>
      </c>
      <c r="I8" s="369">
        <f t="shared" si="5"/>
      </c>
      <c r="J8" s="369">
        <f t="shared" si="5"/>
      </c>
      <c r="K8" s="369">
        <f t="shared" si="5"/>
      </c>
      <c r="L8" s="369">
        <f t="shared" si="5"/>
      </c>
      <c r="M8" s="369">
        <f t="shared" si="5"/>
      </c>
      <c r="N8" s="369">
        <f t="shared" si="5"/>
      </c>
      <c r="O8" s="369">
        <f t="shared" si="5"/>
      </c>
      <c r="P8" s="369">
        <f t="shared" si="5"/>
      </c>
      <c r="Q8" s="369">
        <f t="shared" si="5"/>
      </c>
      <c r="R8" s="392">
        <f t="shared" si="5"/>
      </c>
      <c r="S8" s="381">
        <f>IF($E$8="","",SUM(G8:R8))</f>
      </c>
      <c r="AK8" s="27"/>
    </row>
    <row r="9" spans="1:37" ht="15" customHeight="1">
      <c r="A9" s="743"/>
      <c r="B9" s="706" t="s">
        <v>366</v>
      </c>
      <c r="C9" s="706"/>
      <c r="D9" s="706"/>
      <c r="E9" s="370">
        <f>SUM(E3:E8)</f>
        <v>0</v>
      </c>
      <c r="F9" s="378" t="e">
        <f>F3</f>
        <v>#REF!</v>
      </c>
      <c r="G9" s="393">
        <f>SUM(G3:G8)</f>
        <v>0</v>
      </c>
      <c r="H9" s="371">
        <f>SUM(H3:H8)</f>
        <v>0</v>
      </c>
      <c r="I9" s="371">
        <f aca="true" t="shared" si="6" ref="I9:S9">SUM(I3:I8)</f>
        <v>0</v>
      </c>
      <c r="J9" s="371">
        <f t="shared" si="6"/>
        <v>0</v>
      </c>
      <c r="K9" s="371">
        <f t="shared" si="6"/>
        <v>0</v>
      </c>
      <c r="L9" s="371">
        <f t="shared" si="6"/>
        <v>0</v>
      </c>
      <c r="M9" s="371">
        <f t="shared" si="6"/>
        <v>0</v>
      </c>
      <c r="N9" s="371">
        <f t="shared" si="6"/>
        <v>0</v>
      </c>
      <c r="O9" s="371">
        <f t="shared" si="6"/>
        <v>0</v>
      </c>
      <c r="P9" s="371">
        <f t="shared" si="6"/>
        <v>0</v>
      </c>
      <c r="Q9" s="371">
        <f t="shared" si="6"/>
        <v>0</v>
      </c>
      <c r="R9" s="394">
        <f t="shared" si="6"/>
        <v>0</v>
      </c>
      <c r="S9" s="382">
        <f t="shared" si="6"/>
        <v>0</v>
      </c>
      <c r="AK9" s="14"/>
    </row>
    <row r="10" spans="1:19" ht="15" customHeight="1">
      <c r="A10" s="743"/>
      <c r="B10" s="740" t="s">
        <v>367</v>
      </c>
      <c r="C10" s="740"/>
      <c r="D10" s="740"/>
      <c r="E10" s="740"/>
      <c r="F10" s="740"/>
      <c r="G10" s="395">
        <f aca="true" t="shared" si="7" ref="G10:R10">G9-G11</f>
        <v>0</v>
      </c>
      <c r="H10" s="52">
        <f t="shared" si="7"/>
        <v>0</v>
      </c>
      <c r="I10" s="52">
        <f t="shared" si="7"/>
        <v>0</v>
      </c>
      <c r="J10" s="52">
        <f t="shared" si="7"/>
        <v>0</v>
      </c>
      <c r="K10" s="52">
        <f t="shared" si="7"/>
        <v>0</v>
      </c>
      <c r="L10" s="52">
        <f t="shared" si="7"/>
        <v>0</v>
      </c>
      <c r="M10" s="52">
        <f t="shared" si="7"/>
        <v>0</v>
      </c>
      <c r="N10" s="52">
        <f t="shared" si="7"/>
        <v>0</v>
      </c>
      <c r="O10" s="52">
        <f t="shared" si="7"/>
        <v>0</v>
      </c>
      <c r="P10" s="52">
        <f t="shared" si="7"/>
        <v>0</v>
      </c>
      <c r="Q10" s="52">
        <f t="shared" si="7"/>
        <v>0</v>
      </c>
      <c r="R10" s="396">
        <f t="shared" si="7"/>
        <v>0</v>
      </c>
      <c r="S10" s="383">
        <f>SUM(G10:R10)</f>
        <v>0</v>
      </c>
    </row>
    <row r="11" spans="1:19" ht="15" customHeight="1">
      <c r="A11" s="744"/>
      <c r="B11" s="739" t="s">
        <v>368</v>
      </c>
      <c r="C11" s="739"/>
      <c r="D11" s="739"/>
      <c r="E11" s="739"/>
      <c r="F11" s="739"/>
      <c r="G11" s="397">
        <f aca="true" t="shared" si="8" ref="G11:R11">G23</f>
        <v>0</v>
      </c>
      <c r="H11" s="374">
        <f t="shared" si="8"/>
        <v>0</v>
      </c>
      <c r="I11" s="374">
        <f t="shared" si="8"/>
        <v>0</v>
      </c>
      <c r="J11" s="374">
        <f t="shared" si="8"/>
        <v>0</v>
      </c>
      <c r="K11" s="374">
        <f t="shared" si="8"/>
        <v>0</v>
      </c>
      <c r="L11" s="374">
        <f t="shared" si="8"/>
        <v>0</v>
      </c>
      <c r="M11" s="374">
        <f t="shared" si="8"/>
        <v>0</v>
      </c>
      <c r="N11" s="374">
        <f t="shared" si="8"/>
        <v>0</v>
      </c>
      <c r="O11" s="374">
        <f t="shared" si="8"/>
        <v>0</v>
      </c>
      <c r="P11" s="374">
        <f t="shared" si="8"/>
        <v>0</v>
      </c>
      <c r="Q11" s="374">
        <f t="shared" si="8"/>
        <v>0</v>
      </c>
      <c r="R11" s="398">
        <f t="shared" si="8"/>
        <v>0</v>
      </c>
      <c r="S11" s="384">
        <f>S9-S10</f>
        <v>0</v>
      </c>
    </row>
    <row r="12" spans="2:19" ht="1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9.5" customHeight="1">
      <c r="A13" s="131">
        <v>2</v>
      </c>
      <c r="B13" s="133" t="s">
        <v>569</v>
      </c>
      <c r="C13" s="134"/>
      <c r="D13" s="134"/>
      <c r="E13" s="134"/>
      <c r="F13" s="134"/>
      <c r="G13" s="134"/>
      <c r="H13" s="134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5" customHeight="1">
      <c r="A14" s="399"/>
      <c r="B14" s="718" t="s">
        <v>369</v>
      </c>
      <c r="C14" s="718"/>
      <c r="D14" s="718"/>
      <c r="E14" s="717" t="s">
        <v>370</v>
      </c>
      <c r="F14" s="738"/>
      <c r="G14" s="410" t="s">
        <v>354</v>
      </c>
      <c r="H14" s="400" t="s">
        <v>355</v>
      </c>
      <c r="I14" s="400" t="s">
        <v>356</v>
      </c>
      <c r="J14" s="400" t="s">
        <v>357</v>
      </c>
      <c r="K14" s="400" t="s">
        <v>358</v>
      </c>
      <c r="L14" s="400" t="s">
        <v>359</v>
      </c>
      <c r="M14" s="400" t="s">
        <v>360</v>
      </c>
      <c r="N14" s="400" t="s">
        <v>361</v>
      </c>
      <c r="O14" s="400" t="s">
        <v>362</v>
      </c>
      <c r="P14" s="400" t="s">
        <v>363</v>
      </c>
      <c r="Q14" s="400" t="s">
        <v>364</v>
      </c>
      <c r="R14" s="411" t="s">
        <v>365</v>
      </c>
      <c r="S14" s="406" t="s">
        <v>641</v>
      </c>
    </row>
    <row r="15" spans="1:19" ht="15" customHeight="1">
      <c r="A15" s="747" t="s">
        <v>164</v>
      </c>
      <c r="B15" s="709" t="s">
        <v>383</v>
      </c>
      <c r="C15" s="710"/>
      <c r="D15" s="401">
        <v>1</v>
      </c>
      <c r="E15" s="715">
        <f>S15/8</f>
        <v>0</v>
      </c>
      <c r="F15" s="716"/>
      <c r="G15" s="412">
        <f aca="true" t="shared" si="9" ref="G15:R15">(G9*$D15)</f>
        <v>0</v>
      </c>
      <c r="H15" s="402">
        <f t="shared" si="9"/>
        <v>0</v>
      </c>
      <c r="I15" s="402">
        <f t="shared" si="9"/>
        <v>0</v>
      </c>
      <c r="J15" s="402">
        <f t="shared" si="9"/>
        <v>0</v>
      </c>
      <c r="K15" s="402">
        <f t="shared" si="9"/>
        <v>0</v>
      </c>
      <c r="L15" s="402">
        <f t="shared" si="9"/>
        <v>0</v>
      </c>
      <c r="M15" s="402">
        <f t="shared" si="9"/>
        <v>0</v>
      </c>
      <c r="N15" s="402">
        <f t="shared" si="9"/>
        <v>0</v>
      </c>
      <c r="O15" s="402">
        <f t="shared" si="9"/>
        <v>0</v>
      </c>
      <c r="P15" s="402">
        <f t="shared" si="9"/>
        <v>0</v>
      </c>
      <c r="Q15" s="402">
        <f t="shared" si="9"/>
        <v>0</v>
      </c>
      <c r="R15" s="413">
        <f t="shared" si="9"/>
        <v>0</v>
      </c>
      <c r="S15" s="379">
        <f aca="true" t="shared" si="10" ref="S15:S23">SUM(G15:R15)</f>
        <v>0</v>
      </c>
    </row>
    <row r="16" spans="1:19" ht="15" customHeight="1">
      <c r="A16" s="748"/>
      <c r="B16" s="723"/>
      <c r="C16" s="724"/>
      <c r="D16" s="365"/>
      <c r="E16" s="707">
        <f>IF($D16="","",S16/8)</f>
      </c>
      <c r="F16" s="708"/>
      <c r="G16" s="414">
        <f>IF($D16="","",G9*$D16)</f>
      </c>
      <c r="H16" s="51">
        <f aca="true" t="shared" si="11" ref="H16:R16">IF($D16="","",H9*$D16)</f>
      </c>
      <c r="I16" s="51">
        <f t="shared" si="11"/>
      </c>
      <c r="J16" s="51">
        <f t="shared" si="11"/>
      </c>
      <c r="K16" s="51">
        <f t="shared" si="11"/>
      </c>
      <c r="L16" s="51">
        <f t="shared" si="11"/>
      </c>
      <c r="M16" s="51">
        <f t="shared" si="11"/>
      </c>
      <c r="N16" s="51">
        <f t="shared" si="11"/>
      </c>
      <c r="O16" s="51">
        <f t="shared" si="11"/>
      </c>
      <c r="P16" s="51">
        <f t="shared" si="11"/>
      </c>
      <c r="Q16" s="51">
        <f t="shared" si="11"/>
      </c>
      <c r="R16" s="415">
        <f t="shared" si="11"/>
      </c>
      <c r="S16" s="407">
        <f>IF($D16="","",SUM(G16:R16))</f>
      </c>
    </row>
    <row r="17" spans="1:19" ht="15" customHeight="1">
      <c r="A17" s="748"/>
      <c r="B17" s="723"/>
      <c r="C17" s="724"/>
      <c r="D17" s="365"/>
      <c r="E17" s="707">
        <f>IF($D17="","",S17/8)</f>
      </c>
      <c r="F17" s="708"/>
      <c r="G17" s="414">
        <f aca="true" t="shared" si="12" ref="G17:R17">IF($D17="","",G10*$D17)</f>
      </c>
      <c r="H17" s="51">
        <f t="shared" si="12"/>
      </c>
      <c r="I17" s="51">
        <f t="shared" si="12"/>
      </c>
      <c r="J17" s="51">
        <f t="shared" si="12"/>
      </c>
      <c r="K17" s="51">
        <f t="shared" si="12"/>
      </c>
      <c r="L17" s="51">
        <f t="shared" si="12"/>
      </c>
      <c r="M17" s="51">
        <f t="shared" si="12"/>
      </c>
      <c r="N17" s="51">
        <f t="shared" si="12"/>
      </c>
      <c r="O17" s="51">
        <f t="shared" si="12"/>
      </c>
      <c r="P17" s="51">
        <f t="shared" si="12"/>
      </c>
      <c r="Q17" s="51">
        <f t="shared" si="12"/>
      </c>
      <c r="R17" s="415">
        <f t="shared" si="12"/>
      </c>
      <c r="S17" s="407">
        <f>IF($D17="","",SUM(G17:R17))</f>
      </c>
    </row>
    <row r="18" spans="1:19" ht="15" customHeight="1">
      <c r="A18" s="748"/>
      <c r="B18" s="713"/>
      <c r="C18" s="714"/>
      <c r="D18" s="405"/>
      <c r="E18" s="711">
        <f>IF($D18="","",S18/8)</f>
      </c>
      <c r="F18" s="712"/>
      <c r="G18" s="397">
        <f aca="true" t="shared" si="13" ref="G18:R18">IF($D18="","",G11*$D18)</f>
      </c>
      <c r="H18" s="374">
        <f t="shared" si="13"/>
      </c>
      <c r="I18" s="374">
        <f t="shared" si="13"/>
      </c>
      <c r="J18" s="374">
        <f t="shared" si="13"/>
      </c>
      <c r="K18" s="374">
        <f t="shared" si="13"/>
      </c>
      <c r="L18" s="374">
        <f t="shared" si="13"/>
      </c>
      <c r="M18" s="374">
        <f t="shared" si="13"/>
      </c>
      <c r="N18" s="374">
        <f t="shared" si="13"/>
      </c>
      <c r="O18" s="374">
        <f t="shared" si="13"/>
      </c>
      <c r="P18" s="374">
        <f t="shared" si="13"/>
      </c>
      <c r="Q18" s="374">
        <f t="shared" si="13"/>
      </c>
      <c r="R18" s="398">
        <f t="shared" si="13"/>
      </c>
      <c r="S18" s="384">
        <f>IF($D18="","",SUM(G18:R18))</f>
      </c>
    </row>
    <row r="19" spans="1:19" ht="15" customHeight="1">
      <c r="A19" s="749"/>
      <c r="B19" s="729" t="s">
        <v>366</v>
      </c>
      <c r="C19" s="730"/>
      <c r="D19" s="731"/>
      <c r="E19" s="725">
        <f>SUM(E15:F18)</f>
        <v>0</v>
      </c>
      <c r="F19" s="726"/>
      <c r="G19" s="416">
        <f aca="true" t="shared" si="14" ref="G19:R19">SUM(G15:G18)</f>
        <v>0</v>
      </c>
      <c r="H19" s="403">
        <f t="shared" si="14"/>
        <v>0</v>
      </c>
      <c r="I19" s="403">
        <f t="shared" si="14"/>
        <v>0</v>
      </c>
      <c r="J19" s="403">
        <f t="shared" si="14"/>
        <v>0</v>
      </c>
      <c r="K19" s="403">
        <f t="shared" si="14"/>
        <v>0</v>
      </c>
      <c r="L19" s="403">
        <f t="shared" si="14"/>
        <v>0</v>
      </c>
      <c r="M19" s="403">
        <f t="shared" si="14"/>
        <v>0</v>
      </c>
      <c r="N19" s="403">
        <f t="shared" si="14"/>
        <v>0</v>
      </c>
      <c r="O19" s="403">
        <f t="shared" si="14"/>
        <v>0</v>
      </c>
      <c r="P19" s="403">
        <f t="shared" si="14"/>
        <v>0</v>
      </c>
      <c r="Q19" s="403">
        <f t="shared" si="14"/>
        <v>0</v>
      </c>
      <c r="R19" s="417">
        <f t="shared" si="14"/>
        <v>0</v>
      </c>
      <c r="S19" s="408">
        <f t="shared" si="10"/>
        <v>0</v>
      </c>
    </row>
    <row r="20" spans="1:19" ht="15" customHeight="1">
      <c r="A20" s="747" t="s">
        <v>0</v>
      </c>
      <c r="B20" s="709" t="s">
        <v>383</v>
      </c>
      <c r="C20" s="710"/>
      <c r="D20" s="401">
        <v>1</v>
      </c>
      <c r="E20" s="715">
        <f>S20/8</f>
        <v>0</v>
      </c>
      <c r="F20" s="716"/>
      <c r="G20" s="412">
        <f aca="true" t="shared" si="15" ref="G20:R20">(G9*$D$20)</f>
        <v>0</v>
      </c>
      <c r="H20" s="402">
        <f t="shared" si="15"/>
        <v>0</v>
      </c>
      <c r="I20" s="402">
        <f t="shared" si="15"/>
        <v>0</v>
      </c>
      <c r="J20" s="402">
        <f t="shared" si="15"/>
        <v>0</v>
      </c>
      <c r="K20" s="402">
        <f t="shared" si="15"/>
        <v>0</v>
      </c>
      <c r="L20" s="402">
        <f t="shared" si="15"/>
        <v>0</v>
      </c>
      <c r="M20" s="402">
        <f t="shared" si="15"/>
        <v>0</v>
      </c>
      <c r="N20" s="402">
        <f t="shared" si="15"/>
        <v>0</v>
      </c>
      <c r="O20" s="402">
        <f t="shared" si="15"/>
        <v>0</v>
      </c>
      <c r="P20" s="402">
        <f t="shared" si="15"/>
        <v>0</v>
      </c>
      <c r="Q20" s="402">
        <f t="shared" si="15"/>
        <v>0</v>
      </c>
      <c r="R20" s="413">
        <f t="shared" si="15"/>
        <v>0</v>
      </c>
      <c r="S20" s="379">
        <f t="shared" si="10"/>
        <v>0</v>
      </c>
    </row>
    <row r="21" spans="1:19" ht="15" customHeight="1">
      <c r="A21" s="748"/>
      <c r="B21" s="723"/>
      <c r="C21" s="724"/>
      <c r="D21" s="365"/>
      <c r="E21" s="707">
        <f>IF($D21="","",S21/8)</f>
      </c>
      <c r="F21" s="708"/>
      <c r="G21" s="414">
        <f>IF($D21="","",G$9*$D$21)</f>
      </c>
      <c r="H21" s="53">
        <f>IF($D21="","",H$9*$D$21)</f>
      </c>
      <c r="I21" s="53">
        <f aca="true" t="shared" si="16" ref="I21:R21">IF($D21="","",I$9*$D$21)</f>
      </c>
      <c r="J21" s="53">
        <f t="shared" si="16"/>
      </c>
      <c r="K21" s="53">
        <f t="shared" si="16"/>
      </c>
      <c r="L21" s="53">
        <f t="shared" si="16"/>
      </c>
      <c r="M21" s="53">
        <f t="shared" si="16"/>
      </c>
      <c r="N21" s="53">
        <f t="shared" si="16"/>
      </c>
      <c r="O21" s="53">
        <f t="shared" si="16"/>
      </c>
      <c r="P21" s="53">
        <f t="shared" si="16"/>
      </c>
      <c r="Q21" s="53">
        <f t="shared" si="16"/>
      </c>
      <c r="R21" s="407">
        <f t="shared" si="16"/>
      </c>
      <c r="S21" s="407">
        <f>IF($D21="","",SUM(G21:R21))</f>
      </c>
    </row>
    <row r="22" spans="1:19" ht="15" customHeight="1">
      <c r="A22" s="748"/>
      <c r="B22" s="723"/>
      <c r="C22" s="724"/>
      <c r="D22" s="365"/>
      <c r="E22" s="707">
        <f>IF($D22="","",S22/8)</f>
      </c>
      <c r="F22" s="708"/>
      <c r="G22" s="414">
        <f>IF($D22="","",G$9*$D$22)</f>
      </c>
      <c r="H22" s="53">
        <f aca="true" t="shared" si="17" ref="H22:R22">IF($D22="","",H$9*$D$22)</f>
      </c>
      <c r="I22" s="53">
        <f t="shared" si="17"/>
      </c>
      <c r="J22" s="53">
        <f t="shared" si="17"/>
      </c>
      <c r="K22" s="53">
        <f t="shared" si="17"/>
      </c>
      <c r="L22" s="53">
        <f t="shared" si="17"/>
      </c>
      <c r="M22" s="53">
        <f t="shared" si="17"/>
      </c>
      <c r="N22" s="53">
        <f t="shared" si="17"/>
      </c>
      <c r="O22" s="53">
        <f t="shared" si="17"/>
      </c>
      <c r="P22" s="53">
        <f t="shared" si="17"/>
      </c>
      <c r="Q22" s="53">
        <f t="shared" si="17"/>
      </c>
      <c r="R22" s="407">
        <f t="shared" si="17"/>
      </c>
      <c r="S22" s="407">
        <f>IF($D22="","",SUM(G22:R22))</f>
      </c>
    </row>
    <row r="23" spans="1:19" ht="15" customHeight="1">
      <c r="A23" s="748"/>
      <c r="B23" s="713" t="s">
        <v>384</v>
      </c>
      <c r="C23" s="714"/>
      <c r="D23" s="405"/>
      <c r="E23" s="732">
        <f>S23/8</f>
        <v>0</v>
      </c>
      <c r="F23" s="732"/>
      <c r="G23" s="397">
        <f aca="true" t="shared" si="18" ref="G23:R23">(G9*$D$23)</f>
        <v>0</v>
      </c>
      <c r="H23" s="374">
        <f t="shared" si="18"/>
        <v>0</v>
      </c>
      <c r="I23" s="374">
        <f t="shared" si="18"/>
        <v>0</v>
      </c>
      <c r="J23" s="374">
        <f t="shared" si="18"/>
        <v>0</v>
      </c>
      <c r="K23" s="374">
        <f t="shared" si="18"/>
        <v>0</v>
      </c>
      <c r="L23" s="374">
        <f t="shared" si="18"/>
        <v>0</v>
      </c>
      <c r="M23" s="374">
        <f t="shared" si="18"/>
        <v>0</v>
      </c>
      <c r="N23" s="374">
        <f t="shared" si="18"/>
        <v>0</v>
      </c>
      <c r="O23" s="374">
        <f t="shared" si="18"/>
        <v>0</v>
      </c>
      <c r="P23" s="374">
        <f t="shared" si="18"/>
        <v>0</v>
      </c>
      <c r="Q23" s="374">
        <f t="shared" si="18"/>
        <v>0</v>
      </c>
      <c r="R23" s="398">
        <f t="shared" si="18"/>
        <v>0</v>
      </c>
      <c r="S23" s="384">
        <f t="shared" si="10"/>
        <v>0</v>
      </c>
    </row>
    <row r="24" spans="1:19" ht="15" customHeight="1">
      <c r="A24" s="749"/>
      <c r="B24" s="750" t="s">
        <v>366</v>
      </c>
      <c r="C24" s="750"/>
      <c r="D24" s="750"/>
      <c r="E24" s="725">
        <f>SUM(E20:F23)</f>
        <v>0</v>
      </c>
      <c r="F24" s="726"/>
      <c r="G24" s="418">
        <f aca="true" t="shared" si="19" ref="G24:R24">G9</f>
        <v>0</v>
      </c>
      <c r="H24" s="404">
        <f t="shared" si="19"/>
        <v>0</v>
      </c>
      <c r="I24" s="404">
        <f t="shared" si="19"/>
        <v>0</v>
      </c>
      <c r="J24" s="404">
        <f t="shared" si="19"/>
        <v>0</v>
      </c>
      <c r="K24" s="404">
        <f t="shared" si="19"/>
        <v>0</v>
      </c>
      <c r="L24" s="404">
        <f t="shared" si="19"/>
        <v>0</v>
      </c>
      <c r="M24" s="404">
        <f t="shared" si="19"/>
        <v>0</v>
      </c>
      <c r="N24" s="404">
        <f t="shared" si="19"/>
        <v>0</v>
      </c>
      <c r="O24" s="404">
        <f t="shared" si="19"/>
        <v>0</v>
      </c>
      <c r="P24" s="404">
        <f t="shared" si="19"/>
        <v>0</v>
      </c>
      <c r="Q24" s="404">
        <f t="shared" si="19"/>
        <v>0</v>
      </c>
      <c r="R24" s="419">
        <f t="shared" si="19"/>
        <v>0</v>
      </c>
      <c r="S24" s="409">
        <f>SUM(S20:S23)</f>
        <v>0</v>
      </c>
    </row>
    <row r="25" spans="5:6" ht="12">
      <c r="E25" s="727"/>
      <c r="F25" s="728"/>
    </row>
    <row r="26" spans="4:19" ht="18.75">
      <c r="D26" s="136" t="s">
        <v>162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4:18" ht="12">
      <c r="D27" s="720" t="s">
        <v>163</v>
      </c>
      <c r="E27" s="721"/>
      <c r="F27" s="722"/>
      <c r="G27" s="335" t="s">
        <v>24</v>
      </c>
      <c r="H27" s="336" t="s">
        <v>6</v>
      </c>
      <c r="I27" s="336" t="s">
        <v>7</v>
      </c>
      <c r="J27" s="336" t="s">
        <v>8</v>
      </c>
      <c r="K27" s="336" t="s">
        <v>9</v>
      </c>
      <c r="L27" s="336" t="s">
        <v>10</v>
      </c>
      <c r="M27" s="336" t="s">
        <v>11</v>
      </c>
      <c r="N27" s="336" t="s">
        <v>12</v>
      </c>
      <c r="O27" s="336" t="s">
        <v>13</v>
      </c>
      <c r="P27" s="336" t="s">
        <v>14</v>
      </c>
      <c r="Q27" s="336" t="s">
        <v>15</v>
      </c>
      <c r="R27" s="337" t="s">
        <v>16</v>
      </c>
    </row>
    <row r="28" spans="4:19" ht="14.25" customHeight="1">
      <c r="D28" s="703" t="str">
        <f>'目標'!AM5</f>
        <v>サトウキビ(春+株)</v>
      </c>
      <c r="E28" s="704"/>
      <c r="F28" s="705"/>
      <c r="G28" s="434">
        <f>VLOOKUP('目標'!$AM$4,'労働資料'!$D$134:$P$143,2,1)</f>
        <v>0.425</v>
      </c>
      <c r="H28" s="435">
        <f>VLOOKUP('目標'!$AM$4,'労働資料'!$D$134:$P$143,3,1)</f>
        <v>0.825</v>
      </c>
      <c r="I28" s="435">
        <f>VLOOKUP('目標'!$AM$4,'労働資料'!$D$134:$P$143,4,1)</f>
        <v>3.075</v>
      </c>
      <c r="J28" s="435">
        <f>VLOOKUP('目標'!$AM$4,'労働資料'!$D$134:$P$143,5,1)</f>
        <v>0.675</v>
      </c>
      <c r="K28" s="435">
        <f>VLOOKUP('目標'!$AM$4,'労働資料'!$D$134:$P$143,6,1)</f>
        <v>1.38</v>
      </c>
      <c r="L28" s="435">
        <f>VLOOKUP('目標'!$AM$4,'労働資料'!$D$134:$P$143,7,1)</f>
        <v>2.035</v>
      </c>
      <c r="M28" s="435">
        <f>VLOOKUP('目標'!$AM$4,'労働資料'!$D$134:$P$143,8,1)</f>
        <v>0.17</v>
      </c>
      <c r="N28" s="435">
        <f>VLOOKUP('目標'!$AM$4,'労働資料'!$D$134:$P$143,9,1)</f>
        <v>0.12</v>
      </c>
      <c r="O28" s="435">
        <f>VLOOKUP('目標'!$AM$4,'労働資料'!$D$134:$P$143,10,1)</f>
        <v>0.195</v>
      </c>
      <c r="P28" s="435">
        <f>VLOOKUP('目標'!$AM$4,'労働資料'!$D$134:$P$143,11,1)</f>
        <v>1.22</v>
      </c>
      <c r="Q28" s="435">
        <f>VLOOKUP('目標'!$AM$4,'労働資料'!$D$134:$P$143,12,1)</f>
        <v>0.075</v>
      </c>
      <c r="R28" s="436">
        <f>VLOOKUP('目標'!$AM$4,'労働資料'!$D$134:$P$143,13,1)</f>
        <v>0</v>
      </c>
      <c r="S28" s="27"/>
    </row>
    <row r="29" spans="4:19" ht="14.25" customHeight="1">
      <c r="D29" s="698" t="str">
        <f>B4</f>
        <v>サトウキビ(夏)</v>
      </c>
      <c r="E29" s="699"/>
      <c r="F29" s="700"/>
      <c r="G29" s="437">
        <f>IF($B4="","",VLOOKUP('目標'!$AP$4,'労働資料'!$D$134:$P$143,2,1))</f>
        <v>1</v>
      </c>
      <c r="H29" s="438">
        <f>IF($B4="","",VLOOKUP('目標'!$AP$4,'労働資料'!$D$134:$P$143,3,1))</f>
        <v>1</v>
      </c>
      <c r="I29" s="438">
        <f>IF($B4="","",VLOOKUP('目標'!$AP$4,'労働資料'!$D$134:$P$143,4,1))</f>
        <v>1</v>
      </c>
      <c r="J29" s="438">
        <f>IF($B4="","",VLOOKUP('目標'!$AP$4,'労働資料'!$D$134:$P$143,5,1))</f>
        <v>3</v>
      </c>
      <c r="K29" s="438">
        <f>IF($B4="","",VLOOKUP('目標'!$AP$4,'労働資料'!$D$134:$P$143,6,1))</f>
        <v>3</v>
      </c>
      <c r="L29" s="438">
        <f>IF($B4="","",VLOOKUP('目標'!$AP$4,'労働資料'!$D$134:$P$143,7,1))</f>
        <v>1.2</v>
      </c>
      <c r="M29" s="438">
        <f>IF($B4="","",VLOOKUP('目標'!$AP$4,'労働資料'!$D$134:$P$143,8,1))</f>
        <v>0.7</v>
      </c>
      <c r="N29" s="438">
        <f>IF($B4="","",VLOOKUP('目標'!$AP$4,'労働資料'!$D$134:$P$143,9,1))</f>
        <v>8.6</v>
      </c>
      <c r="O29" s="438">
        <f>IF($B4="","",VLOOKUP('目標'!$AP$4,'労働資料'!$D$134:$P$143,10,1))</f>
        <v>2.5</v>
      </c>
      <c r="P29" s="438">
        <f>IF($B4="","",VLOOKUP('目標'!$AP$4,'労働資料'!$D$134:$P$143,11,1))</f>
        <v>1.5</v>
      </c>
      <c r="Q29" s="438">
        <f>IF($B4="","",VLOOKUP('目標'!$AP$4,'労働資料'!$D$134:$P$143,12,1))</f>
        <v>1</v>
      </c>
      <c r="R29" s="439">
        <f>IF($B4="","",VLOOKUP('目標'!$AP$4,'労働資料'!$D$134:$P$143,13,1))</f>
        <v>1.3</v>
      </c>
      <c r="S29" s="27"/>
    </row>
    <row r="30" spans="4:19" ht="14.25" customHeight="1">
      <c r="D30" s="698">
        <f>B5</f>
      </c>
      <c r="E30" s="699"/>
      <c r="F30" s="700"/>
      <c r="G30" s="437">
        <f>IF($B5="","",VLOOKUP('目標'!$AS$4,'労働資料'!$D$134:$P$143,2,1))</f>
      </c>
      <c r="H30" s="438">
        <f>IF($B5="","",VLOOKUP('目標'!$AS$4,'労働資料'!$D$134:$P$143,3,1))</f>
      </c>
      <c r="I30" s="438">
        <f>IF($B5="","",VLOOKUP('目標'!$AS$4,'労働資料'!$D$134:$P$143,4,1))</f>
      </c>
      <c r="J30" s="438">
        <f>IF($B5="","",VLOOKUP('目標'!$AS$4,'労働資料'!$D$134:$P$143,5,1))</f>
      </c>
      <c r="K30" s="438">
        <f>IF($B5="","",VLOOKUP('目標'!$AS$4,'労働資料'!$D$134:$P$143,6,1))</f>
      </c>
      <c r="L30" s="438">
        <f>IF($B5="","",VLOOKUP('目標'!$AS$4,'労働資料'!$D$134:$P$143,7,1))</f>
      </c>
      <c r="M30" s="438">
        <f>IF($B5="","",VLOOKUP('目標'!$AS$4,'労働資料'!$D$134:$P$143,8,1))</f>
      </c>
      <c r="N30" s="438">
        <f>IF($B5="","",VLOOKUP('目標'!$AS$4,'労働資料'!$D$134:$P$143,9,1))</f>
      </c>
      <c r="O30" s="438">
        <f>IF($B5="","",VLOOKUP('目標'!$AS$4,'労働資料'!$D$134:$P$143,10,1))</f>
      </c>
      <c r="P30" s="438">
        <f>IF($B5="","",VLOOKUP('目標'!$AS$4,'労働資料'!$D$134:$P$143,11,1))</f>
      </c>
      <c r="Q30" s="438">
        <f>IF($B5="","",VLOOKUP('目標'!$AS$4,'労働資料'!$D$134:$P$143,12,1))</f>
      </c>
      <c r="R30" s="439">
        <f>IF($B5="","",VLOOKUP('目標'!$AS$4,'労働資料'!$D$134:$P$143,13,1))</f>
      </c>
      <c r="S30" s="27"/>
    </row>
    <row r="31" spans="4:19" ht="14.25" customHeight="1">
      <c r="D31" s="698">
        <f>B6</f>
      </c>
      <c r="E31" s="699"/>
      <c r="F31" s="700"/>
      <c r="G31" s="437">
        <f>IF($B6="","",VLOOKUP('目標'!$AV$4,'労働資料'!$D$134:$P$143,2,1))</f>
      </c>
      <c r="H31" s="438">
        <f>IF($B6="","",VLOOKUP('目標'!$AV$4,'労働資料'!$D$134:$P$143,3,1))</f>
      </c>
      <c r="I31" s="438">
        <f>IF($B6="","",VLOOKUP('目標'!$AV$4,'労働資料'!$D$134:$P$143,4,1))</f>
      </c>
      <c r="J31" s="438">
        <f>IF($B6="","",VLOOKUP('目標'!$AV$4,'労働資料'!$D$134:$P$143,5,1))</f>
      </c>
      <c r="K31" s="438">
        <f>IF($B6="","",VLOOKUP('目標'!$AV$4,'労働資料'!$D$134:$P$143,6,1))</f>
      </c>
      <c r="L31" s="438">
        <f>IF($B6="","",VLOOKUP('目標'!$AV$4,'労働資料'!$D$134:$P$143,7,1))</f>
      </c>
      <c r="M31" s="438">
        <f>IF($B6="","",VLOOKUP('目標'!$AV$4,'労働資料'!$D$134:$P$143,8,1))</f>
      </c>
      <c r="N31" s="438">
        <f>IF($B6="","",VLOOKUP('目標'!$AV$4,'労働資料'!$D$134:$P$143,9,1))</f>
      </c>
      <c r="O31" s="438">
        <f>IF($B6="","",VLOOKUP('目標'!$AV$4,'労働資料'!$D$134:$P$143,10,1))</f>
      </c>
      <c r="P31" s="438">
        <f>IF($B6="","",VLOOKUP('目標'!$AV$4,'労働資料'!$D$134:$P$143,11,1))</f>
      </c>
      <c r="Q31" s="438">
        <f>IF($B6="","",VLOOKUP('目標'!$AV$4,'労働資料'!$D$134:$P$143,12,1))</f>
      </c>
      <c r="R31" s="439">
        <f>IF($B6="","",VLOOKUP('目標'!$AV$4,'労働資料'!$D$134:$P$143,13,1))</f>
      </c>
      <c r="S31" s="27"/>
    </row>
    <row r="32" spans="4:19" ht="14.25" customHeight="1">
      <c r="D32" s="698">
        <f>B7</f>
      </c>
      <c r="E32" s="699"/>
      <c r="F32" s="700"/>
      <c r="G32" s="437">
        <f>IF($B7="","",VLOOKUP('目標'!$AY$4,'労働資料'!$D$134:$P$143,2,1))</f>
      </c>
      <c r="H32" s="438">
        <f>IF($B7="","",VLOOKUP('目標'!$AY$4,'労働資料'!$D$134:$P$143,3,1))</f>
      </c>
      <c r="I32" s="438">
        <f>IF($B7="","",VLOOKUP('目標'!$AY$4,'労働資料'!$D$134:$P$143,4,1))</f>
      </c>
      <c r="J32" s="438">
        <f>IF($B7="","",VLOOKUP('目標'!$AY$4,'労働資料'!$D$134:$P$143,5,1))</f>
      </c>
      <c r="K32" s="438">
        <f>IF($B7="","",VLOOKUP('目標'!$AY$4,'労働資料'!$D$134:$P$143,6,1))</f>
      </c>
      <c r="L32" s="438">
        <f>IF($B7="","",VLOOKUP('目標'!$AY$4,'労働資料'!$D$134:$P$143,7,1))</f>
      </c>
      <c r="M32" s="438">
        <f>IF($B7="","",VLOOKUP('目標'!$AY$4,'労働資料'!$D$134:$P$143,8,1))</f>
      </c>
      <c r="N32" s="438">
        <f>IF($B7="","",VLOOKUP('目標'!$AY$4,'労働資料'!$D$134:$P$143,9,1))</f>
      </c>
      <c r="O32" s="438">
        <f>IF($B7="","",VLOOKUP('目標'!$AY$4,'労働資料'!$D$134:$P$143,10,1))</f>
      </c>
      <c r="P32" s="438">
        <f>IF($B7="","",VLOOKUP('目標'!$AY$4,'労働資料'!$D$134:$P$143,11,1))</f>
      </c>
      <c r="Q32" s="438">
        <f>IF($B7="","",VLOOKUP('目標'!$AY$4,'労働資料'!$D$134:$P$143,12,1))</f>
      </c>
      <c r="R32" s="439">
        <f>IF($B7="","",VLOOKUP('目標'!$AY$4,'労働資料'!$D$134:$P$143,13,1))</f>
      </c>
      <c r="S32" s="27"/>
    </row>
    <row r="33" spans="4:19" ht="14.25" customHeight="1">
      <c r="D33" s="733">
        <f>B8</f>
      </c>
      <c r="E33" s="734"/>
      <c r="F33" s="735"/>
      <c r="G33" s="440">
        <f>IF($B8="","",VLOOKUP('目標'!$BB$4,'労働資料'!$D$134:$P$143,2,1))</f>
      </c>
      <c r="H33" s="441">
        <f>IF($B8="","",VLOOKUP('目標'!$BB$4,'労働資料'!$D$134:$P$143,3,1))</f>
      </c>
      <c r="I33" s="441">
        <f>IF($B8="","",VLOOKUP('目標'!$BB$4,'労働資料'!$D$134:$P$143,4,1))</f>
      </c>
      <c r="J33" s="441">
        <f>IF($B8="","",VLOOKUP('目標'!$BB$4,'労働資料'!$D$134:$P$143,5,1))</f>
      </c>
      <c r="K33" s="441">
        <f>IF($B8="","",VLOOKUP('目標'!$BB$4,'労働資料'!$D$134:$P$143,6,1))</f>
      </c>
      <c r="L33" s="441">
        <f>IF($B8="","",VLOOKUP('目標'!$BB$4,'労働資料'!$D$134:$P$143,7,1))</f>
      </c>
      <c r="M33" s="441">
        <f>IF($B8="","",VLOOKUP('目標'!$BB$4,'労働資料'!$D$134:$P$143,8,1))</f>
      </c>
      <c r="N33" s="441">
        <f>IF($B8="","",VLOOKUP('目標'!$BB$4,'労働資料'!$D$134:$P$143,9,1))</f>
      </c>
      <c r="O33" s="441">
        <f>IF($B8="","",VLOOKUP('目標'!$BB$4,'労働資料'!$D$134:$P$143,10,1))</f>
      </c>
      <c r="P33" s="441">
        <f>IF($B8="","",VLOOKUP('目標'!$BB$4,'労働資料'!$D$134:$P$143,11,1))</f>
      </c>
      <c r="Q33" s="441">
        <f>IF($B8="","",VLOOKUP('目標'!$BB$4,'労働資料'!$D$134:$P$143,12,1))</f>
      </c>
      <c r="R33" s="442">
        <f>IF($B8="","",VLOOKUP('目標'!$BB$4,'労働資料'!$D$134:$P$143,13,1))</f>
      </c>
      <c r="S33" s="27"/>
    </row>
    <row r="34" spans="4:19" ht="12.75">
      <c r="D34" s="49"/>
      <c r="E34" s="49"/>
      <c r="F34" s="49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14"/>
    </row>
    <row r="35" spans="8:14" ht="12">
      <c r="H35" s="43"/>
      <c r="I35" s="43"/>
      <c r="J35" s="43"/>
      <c r="K35" s="43"/>
      <c r="L35" s="43"/>
      <c r="M35" s="43"/>
      <c r="N35" s="43"/>
    </row>
  </sheetData>
  <sheetProtection/>
  <mergeCells count="44">
    <mergeCell ref="A3:A11"/>
    <mergeCell ref="B3:D3"/>
    <mergeCell ref="A15:A19"/>
    <mergeCell ref="A20:A24"/>
    <mergeCell ref="E15:F15"/>
    <mergeCell ref="B24:D24"/>
    <mergeCell ref="D33:F33"/>
    <mergeCell ref="B8:D8"/>
    <mergeCell ref="D32:F32"/>
    <mergeCell ref="B14:D14"/>
    <mergeCell ref="E14:F14"/>
    <mergeCell ref="B18:C18"/>
    <mergeCell ref="E21:F21"/>
    <mergeCell ref="B11:F11"/>
    <mergeCell ref="B10:F10"/>
    <mergeCell ref="B16:C16"/>
    <mergeCell ref="E16:F16"/>
    <mergeCell ref="E25:F25"/>
    <mergeCell ref="B17:C17"/>
    <mergeCell ref="B19:D19"/>
    <mergeCell ref="E24:F24"/>
    <mergeCell ref="E23:F23"/>
    <mergeCell ref="E22:F22"/>
    <mergeCell ref="B22:C22"/>
    <mergeCell ref="B23:C23"/>
    <mergeCell ref="E20:F20"/>
    <mergeCell ref="B2:D2"/>
    <mergeCell ref="E2:F2"/>
    <mergeCell ref="B7:D7"/>
    <mergeCell ref="D31:F31"/>
    <mergeCell ref="D27:F27"/>
    <mergeCell ref="B20:C20"/>
    <mergeCell ref="B21:C21"/>
    <mergeCell ref="E19:F19"/>
    <mergeCell ref="D30:F30"/>
    <mergeCell ref="B5:D5"/>
    <mergeCell ref="D29:F29"/>
    <mergeCell ref="B4:D4"/>
    <mergeCell ref="D28:F28"/>
    <mergeCell ref="B9:D9"/>
    <mergeCell ref="E17:F17"/>
    <mergeCell ref="B6:D6"/>
    <mergeCell ref="B15:C15"/>
    <mergeCell ref="E18:F18"/>
  </mergeCells>
  <printOptions/>
  <pageMargins left="0.787" right="0.28" top="1.1" bottom="0.55" header="0.34" footer="0.16"/>
  <pageSetup horizontalDpi="300" verticalDpi="300" orientation="landscape" paperSize="9" r:id="rId1"/>
  <ignoredErrors>
    <ignoredError sqref="E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N24"/>
  <sheetViews>
    <sheetView zoomScale="80" zoomScaleNormal="80" zoomScalePageLayoutView="0" workbookViewId="0" topLeftCell="A1">
      <pane xSplit="3" topLeftCell="DL1" activePane="topRight" state="frozen"/>
      <selection pane="topLeft" activeCell="F34" sqref="F34"/>
      <selection pane="topRight" activeCell="F34" sqref="F34"/>
    </sheetView>
  </sheetViews>
  <sheetFormatPr defaultColWidth="9.00390625" defaultRowHeight="13.5"/>
  <cols>
    <col min="1" max="2" width="3.625" style="82" customWidth="1"/>
    <col min="3" max="3" width="11.625" style="82" customWidth="1"/>
    <col min="4" max="15" width="9.625" style="82" customWidth="1"/>
    <col min="16" max="27" width="10.25390625" style="81" customWidth="1"/>
    <col min="28" max="40" width="10.25390625" style="82" customWidth="1"/>
    <col min="41" max="49" width="10.75390625" style="82" customWidth="1"/>
    <col min="50" max="50" width="12.25390625" style="82" customWidth="1"/>
    <col min="51" max="51" width="11.25390625" style="82" customWidth="1"/>
    <col min="52" max="52" width="9.625" style="82" customWidth="1"/>
    <col min="53" max="53" width="10.50390625" style="82" bestFit="1" customWidth="1"/>
    <col min="54" max="54" width="13.875" style="82" bestFit="1" customWidth="1"/>
    <col min="55" max="59" width="10.50390625" style="82" bestFit="1" customWidth="1"/>
    <col min="60" max="60" width="11.50390625" style="82" customWidth="1"/>
    <col min="61" max="61" width="11.625" style="82" bestFit="1" customWidth="1"/>
    <col min="62" max="62" width="10.50390625" style="82" bestFit="1" customWidth="1"/>
    <col min="63" max="64" width="11.625" style="82" bestFit="1" customWidth="1"/>
    <col min="65" max="65" width="10.50390625" style="82" bestFit="1" customWidth="1"/>
    <col min="66" max="66" width="10.00390625" style="82" customWidth="1"/>
    <col min="67" max="67" width="11.75390625" style="82" customWidth="1"/>
    <col min="68" max="68" width="11.625" style="82" bestFit="1" customWidth="1"/>
    <col min="69" max="69" width="13.875" style="82" customWidth="1"/>
    <col min="70" max="70" width="11.625" style="82" bestFit="1" customWidth="1"/>
    <col min="71" max="71" width="13.25390625" style="82" customWidth="1"/>
    <col min="72" max="72" width="12.25390625" style="82" bestFit="1" customWidth="1"/>
    <col min="73" max="73" width="9.50390625" style="81" customWidth="1"/>
    <col min="74" max="74" width="9.875" style="81" customWidth="1"/>
    <col min="75" max="75" width="10.25390625" style="81" customWidth="1"/>
    <col min="76" max="76" width="9.875" style="81" customWidth="1"/>
    <col min="77" max="83" width="11.125" style="81" customWidth="1"/>
    <col min="84" max="92" width="11.125" style="82" customWidth="1"/>
    <col min="93" max="95" width="10.50390625" style="83" customWidth="1"/>
    <col min="96" max="96" width="7.875" style="84" customWidth="1"/>
    <col min="97" max="97" width="8.375" style="83" customWidth="1"/>
    <col min="98" max="111" width="9.625" style="83" customWidth="1"/>
    <col min="112" max="114" width="9.00390625" style="82" customWidth="1"/>
    <col min="115" max="115" width="8.25390625" style="82" customWidth="1"/>
    <col min="116" max="116" width="8.00390625" style="82" customWidth="1"/>
    <col min="117" max="134" width="9.00390625" style="82" customWidth="1"/>
    <col min="135" max="136" width="10.50390625" style="82" customWidth="1"/>
    <col min="137" max="137" width="10.875" style="82" bestFit="1" customWidth="1"/>
    <col min="138" max="138" width="9.00390625" style="82" customWidth="1"/>
    <col min="139" max="139" width="10.875" style="82" bestFit="1" customWidth="1"/>
    <col min="140" max="140" width="9.125" style="82" customWidth="1"/>
    <col min="141" max="141" width="11.25390625" style="82" customWidth="1"/>
    <col min="142" max="142" width="12.375" style="82" customWidth="1"/>
    <col min="143" max="143" width="11.125" style="82" customWidth="1"/>
    <col min="144" max="145" width="9.125" style="82" customWidth="1"/>
    <col min="146" max="16384" width="9.00390625" style="82" customWidth="1"/>
  </cols>
  <sheetData>
    <row r="1" spans="1:144" s="305" customFormat="1" ht="37.5" customHeight="1">
      <c r="A1" s="753" t="s">
        <v>385</v>
      </c>
      <c r="B1" s="753"/>
      <c r="C1" s="753"/>
      <c r="D1" s="360" t="s">
        <v>635</v>
      </c>
      <c r="E1" s="360" t="s">
        <v>636</v>
      </c>
      <c r="F1" s="360" t="s">
        <v>616</v>
      </c>
      <c r="G1" s="360" t="s">
        <v>620</v>
      </c>
      <c r="H1" s="360" t="s">
        <v>621</v>
      </c>
      <c r="I1" s="360" t="s">
        <v>617</v>
      </c>
      <c r="J1" s="360" t="s">
        <v>618</v>
      </c>
      <c r="K1" s="360" t="s">
        <v>619</v>
      </c>
      <c r="L1" s="360" t="s">
        <v>591</v>
      </c>
      <c r="M1" s="360" t="s">
        <v>622</v>
      </c>
      <c r="N1" s="420" t="s">
        <v>630</v>
      </c>
      <c r="O1" s="420" t="s">
        <v>630</v>
      </c>
      <c r="P1" s="302" t="s">
        <v>521</v>
      </c>
      <c r="Q1" s="303" t="s">
        <v>521</v>
      </c>
      <c r="R1" s="303" t="s">
        <v>522</v>
      </c>
      <c r="S1" s="304" t="s">
        <v>386</v>
      </c>
      <c r="T1" s="302" t="s">
        <v>387</v>
      </c>
      <c r="U1" s="303" t="s">
        <v>388</v>
      </c>
      <c r="V1" s="303" t="s">
        <v>523</v>
      </c>
      <c r="W1" s="303" t="s">
        <v>524</v>
      </c>
      <c r="X1" s="303" t="s">
        <v>525</v>
      </c>
      <c r="Y1" s="303" t="s">
        <v>389</v>
      </c>
      <c r="Z1" s="303" t="s">
        <v>390</v>
      </c>
      <c r="AA1" s="303" t="s">
        <v>391</v>
      </c>
      <c r="AB1" s="302" t="s">
        <v>526</v>
      </c>
      <c r="AC1" s="303" t="s">
        <v>527</v>
      </c>
      <c r="AD1" s="303" t="s">
        <v>392</v>
      </c>
      <c r="AE1" s="302" t="s">
        <v>393</v>
      </c>
      <c r="AF1" s="302" t="s">
        <v>394</v>
      </c>
      <c r="AG1" s="303" t="s">
        <v>395</v>
      </c>
      <c r="AH1" s="303" t="s">
        <v>396</v>
      </c>
      <c r="AI1" s="302" t="s">
        <v>397</v>
      </c>
      <c r="AJ1" s="304" t="s">
        <v>398</v>
      </c>
      <c r="AK1" s="303" t="s">
        <v>528</v>
      </c>
      <c r="AL1" s="303" t="s">
        <v>529</v>
      </c>
      <c r="AM1" s="303" t="s">
        <v>399</v>
      </c>
      <c r="AN1" s="303" t="s">
        <v>399</v>
      </c>
      <c r="AO1" s="303" t="s">
        <v>530</v>
      </c>
      <c r="AP1" s="303" t="s">
        <v>530</v>
      </c>
      <c r="AQ1" s="303" t="s">
        <v>530</v>
      </c>
      <c r="AR1" s="302" t="s">
        <v>531</v>
      </c>
      <c r="AS1" s="302" t="s">
        <v>532</v>
      </c>
      <c r="AT1" s="302" t="s">
        <v>533</v>
      </c>
      <c r="AU1" s="303" t="s">
        <v>533</v>
      </c>
      <c r="AV1" s="302" t="s">
        <v>400</v>
      </c>
      <c r="AW1" s="303" t="s">
        <v>534</v>
      </c>
      <c r="AX1" s="303" t="s">
        <v>535</v>
      </c>
      <c r="AY1" s="303" t="s">
        <v>536</v>
      </c>
      <c r="AZ1" s="302" t="s">
        <v>537</v>
      </c>
      <c r="BA1" s="303" t="s">
        <v>538</v>
      </c>
      <c r="BB1" s="303" t="s">
        <v>539</v>
      </c>
      <c r="BC1" s="302" t="s">
        <v>540</v>
      </c>
      <c r="BD1" s="303" t="s">
        <v>540</v>
      </c>
      <c r="BE1" s="302" t="s">
        <v>401</v>
      </c>
      <c r="BF1" s="302" t="s">
        <v>402</v>
      </c>
      <c r="BG1" s="302" t="s">
        <v>403</v>
      </c>
      <c r="BH1" s="303" t="s">
        <v>403</v>
      </c>
      <c r="BI1" s="302" t="s">
        <v>541</v>
      </c>
      <c r="BJ1" s="302" t="s">
        <v>404</v>
      </c>
      <c r="BK1" s="302" t="s">
        <v>542</v>
      </c>
      <c r="BL1" s="303" t="s">
        <v>543</v>
      </c>
      <c r="BM1" s="303" t="s">
        <v>544</v>
      </c>
      <c r="BN1" s="302" t="s">
        <v>545</v>
      </c>
      <c r="BO1" s="303" t="s">
        <v>546</v>
      </c>
      <c r="BP1" s="302" t="s">
        <v>405</v>
      </c>
      <c r="BQ1" s="302" t="s">
        <v>547</v>
      </c>
      <c r="BR1" s="302" t="s">
        <v>548</v>
      </c>
      <c r="BS1" s="303" t="s">
        <v>548</v>
      </c>
      <c r="BT1" s="303" t="s">
        <v>406</v>
      </c>
      <c r="BU1" s="302" t="s">
        <v>549</v>
      </c>
      <c r="BV1" s="302" t="s">
        <v>549</v>
      </c>
      <c r="BW1" s="302" t="s">
        <v>407</v>
      </c>
      <c r="BX1" s="302" t="s">
        <v>407</v>
      </c>
      <c r="BY1" s="302" t="s">
        <v>550</v>
      </c>
      <c r="BZ1" s="302" t="s">
        <v>550</v>
      </c>
      <c r="CA1" s="303" t="s">
        <v>550</v>
      </c>
      <c r="CB1" s="302" t="s">
        <v>551</v>
      </c>
      <c r="CC1" s="302" t="s">
        <v>408</v>
      </c>
      <c r="CD1" s="302" t="s">
        <v>552</v>
      </c>
      <c r="CE1" s="302" t="s">
        <v>409</v>
      </c>
      <c r="CF1" s="302" t="s">
        <v>410</v>
      </c>
      <c r="CG1" s="303" t="s">
        <v>553</v>
      </c>
      <c r="CH1" s="303" t="s">
        <v>411</v>
      </c>
      <c r="CI1" s="306" t="s">
        <v>412</v>
      </c>
      <c r="CJ1" s="303" t="s">
        <v>554</v>
      </c>
      <c r="CK1" s="303" t="s">
        <v>555</v>
      </c>
      <c r="CL1" s="302" t="s">
        <v>556</v>
      </c>
      <c r="CM1" s="303" t="s">
        <v>557</v>
      </c>
      <c r="CN1" s="303" t="s">
        <v>557</v>
      </c>
      <c r="CO1" s="103" t="s">
        <v>558</v>
      </c>
      <c r="CP1" s="103" t="s">
        <v>413</v>
      </c>
      <c r="CQ1" s="103" t="s">
        <v>414</v>
      </c>
      <c r="CR1" s="307" t="s">
        <v>415</v>
      </c>
      <c r="CS1" s="303" t="s">
        <v>416</v>
      </c>
      <c r="CT1" s="303" t="s">
        <v>417</v>
      </c>
      <c r="CU1" s="303" t="s">
        <v>418</v>
      </c>
      <c r="CV1" s="303" t="s">
        <v>419</v>
      </c>
      <c r="CW1" s="303" t="s">
        <v>420</v>
      </c>
      <c r="CX1" s="303" t="s">
        <v>421</v>
      </c>
      <c r="CY1" s="303" t="s">
        <v>422</v>
      </c>
      <c r="CZ1" s="303" t="s">
        <v>423</v>
      </c>
      <c r="DA1" s="303" t="s">
        <v>424</v>
      </c>
      <c r="DB1" s="303" t="s">
        <v>425</v>
      </c>
      <c r="DC1" s="303" t="s">
        <v>426</v>
      </c>
      <c r="DD1" s="303" t="s">
        <v>427</v>
      </c>
      <c r="DE1" s="303" t="s">
        <v>428</v>
      </c>
      <c r="DF1" s="303" t="s">
        <v>428</v>
      </c>
      <c r="DG1" s="303" t="s">
        <v>429</v>
      </c>
      <c r="DH1" s="113" t="s">
        <v>430</v>
      </c>
      <c r="DI1" s="113" t="s">
        <v>431</v>
      </c>
      <c r="DJ1" s="103" t="s">
        <v>432</v>
      </c>
      <c r="DK1" s="114" t="s">
        <v>559</v>
      </c>
      <c r="DL1" s="308" t="s">
        <v>594</v>
      </c>
      <c r="DM1" s="303" t="s">
        <v>433</v>
      </c>
      <c r="DN1" s="303" t="s">
        <v>560</v>
      </c>
      <c r="DO1" s="303" t="s">
        <v>434</v>
      </c>
      <c r="DP1" s="303" t="s">
        <v>561</v>
      </c>
      <c r="DQ1" s="303" t="s">
        <v>435</v>
      </c>
      <c r="DR1" s="303" t="s">
        <v>436</v>
      </c>
      <c r="DS1" s="303" t="s">
        <v>437</v>
      </c>
      <c r="DT1" s="303" t="s">
        <v>560</v>
      </c>
      <c r="DU1" s="303" t="s">
        <v>434</v>
      </c>
      <c r="DV1" s="303" t="s">
        <v>561</v>
      </c>
      <c r="DW1" s="303" t="s">
        <v>435</v>
      </c>
      <c r="DX1" s="303" t="s">
        <v>436</v>
      </c>
      <c r="DY1" s="303" t="s">
        <v>438</v>
      </c>
      <c r="DZ1" s="306" t="s">
        <v>439</v>
      </c>
      <c r="EA1" s="303" t="s">
        <v>440</v>
      </c>
      <c r="EB1" s="303" t="s">
        <v>441</v>
      </c>
      <c r="EC1" s="309" t="s">
        <v>442</v>
      </c>
      <c r="ED1" s="309" t="s">
        <v>443</v>
      </c>
      <c r="EE1" s="309" t="s">
        <v>444</v>
      </c>
      <c r="EF1" s="309" t="s">
        <v>445</v>
      </c>
      <c r="EG1" s="491" t="s">
        <v>643</v>
      </c>
      <c r="EH1" s="491" t="s">
        <v>644</v>
      </c>
      <c r="EI1" s="491" t="s">
        <v>645</v>
      </c>
      <c r="EJ1" s="491" t="s">
        <v>649</v>
      </c>
      <c r="EK1" s="491" t="s">
        <v>648</v>
      </c>
      <c r="EL1" s="491" t="s">
        <v>648</v>
      </c>
      <c r="EM1" s="491" t="s">
        <v>651</v>
      </c>
      <c r="EN1" s="491" t="s">
        <v>652</v>
      </c>
    </row>
    <row r="2" spans="1:144" s="493" customFormat="1" ht="22.5" customHeight="1">
      <c r="A2" s="754" t="s">
        <v>446</v>
      </c>
      <c r="B2" s="754"/>
      <c r="C2" s="754"/>
      <c r="N2" s="459" t="s">
        <v>631</v>
      </c>
      <c r="O2" s="459" t="s">
        <v>632</v>
      </c>
      <c r="P2" s="87" t="s">
        <v>447</v>
      </c>
      <c r="Q2" s="86" t="s">
        <v>448</v>
      </c>
      <c r="R2" s="86" t="s">
        <v>449</v>
      </c>
      <c r="S2" s="87" t="s">
        <v>447</v>
      </c>
      <c r="T2" s="87" t="s">
        <v>447</v>
      </c>
      <c r="U2" s="86" t="s">
        <v>450</v>
      </c>
      <c r="V2" s="86" t="s">
        <v>451</v>
      </c>
      <c r="W2" s="86" t="s">
        <v>450</v>
      </c>
      <c r="X2" s="86" t="s">
        <v>451</v>
      </c>
      <c r="Y2" s="86" t="s">
        <v>452</v>
      </c>
      <c r="Z2" s="86" t="s">
        <v>451</v>
      </c>
      <c r="AA2" s="86" t="s">
        <v>451</v>
      </c>
      <c r="AB2" s="87" t="s">
        <v>448</v>
      </c>
      <c r="AC2" s="86" t="s">
        <v>452</v>
      </c>
      <c r="AD2" s="86" t="s">
        <v>453</v>
      </c>
      <c r="AE2" s="94" t="s">
        <v>447</v>
      </c>
      <c r="AF2" s="87" t="s">
        <v>454</v>
      </c>
      <c r="AG2" s="86" t="s">
        <v>455</v>
      </c>
      <c r="AH2" s="86" t="s">
        <v>456</v>
      </c>
      <c r="AI2" s="87" t="s">
        <v>457</v>
      </c>
      <c r="AJ2" s="87" t="s">
        <v>453</v>
      </c>
      <c r="AK2" s="86" t="s">
        <v>448</v>
      </c>
      <c r="AL2" s="86" t="s">
        <v>452</v>
      </c>
      <c r="AM2" s="86" t="s">
        <v>458</v>
      </c>
      <c r="AN2" s="86" t="s">
        <v>459</v>
      </c>
      <c r="AO2" s="93" t="s">
        <v>460</v>
      </c>
      <c r="AP2" s="93" t="s">
        <v>461</v>
      </c>
      <c r="AQ2" s="86" t="s">
        <v>451</v>
      </c>
      <c r="AR2" s="94" t="s">
        <v>447</v>
      </c>
      <c r="AS2" s="87" t="s">
        <v>462</v>
      </c>
      <c r="AT2" s="87" t="s">
        <v>463</v>
      </c>
      <c r="AU2" s="86" t="s">
        <v>451</v>
      </c>
      <c r="AV2" s="87" t="s">
        <v>464</v>
      </c>
      <c r="AW2" s="86" t="s">
        <v>465</v>
      </c>
      <c r="AX2" s="86" t="s">
        <v>466</v>
      </c>
      <c r="AY2" s="86" t="s">
        <v>466</v>
      </c>
      <c r="AZ2" s="87" t="s">
        <v>467</v>
      </c>
      <c r="BA2" s="86" t="s">
        <v>468</v>
      </c>
      <c r="BB2" s="86" t="s">
        <v>453</v>
      </c>
      <c r="BC2" s="87" t="s">
        <v>447</v>
      </c>
      <c r="BD2" s="86" t="s">
        <v>448</v>
      </c>
      <c r="BE2" s="87" t="s">
        <v>469</v>
      </c>
      <c r="BF2" s="87" t="s">
        <v>469</v>
      </c>
      <c r="BG2" s="87" t="s">
        <v>448</v>
      </c>
      <c r="BH2" s="86" t="s">
        <v>450</v>
      </c>
      <c r="BI2" s="87" t="s">
        <v>456</v>
      </c>
      <c r="BJ2" s="87" t="s">
        <v>469</v>
      </c>
      <c r="BK2" s="87" t="s">
        <v>447</v>
      </c>
      <c r="BL2" s="86" t="s">
        <v>470</v>
      </c>
      <c r="BM2" s="86" t="s">
        <v>451</v>
      </c>
      <c r="BN2" s="87" t="s">
        <v>462</v>
      </c>
      <c r="BO2" s="86" t="s">
        <v>468</v>
      </c>
      <c r="BP2" s="87" t="s">
        <v>447</v>
      </c>
      <c r="BQ2" s="87" t="s">
        <v>471</v>
      </c>
      <c r="BR2" s="87" t="s">
        <v>472</v>
      </c>
      <c r="BS2" s="86" t="s">
        <v>473</v>
      </c>
      <c r="BT2" s="86" t="s">
        <v>448</v>
      </c>
      <c r="BU2" s="87" t="s">
        <v>447</v>
      </c>
      <c r="BV2" s="87" t="s">
        <v>474</v>
      </c>
      <c r="BW2" s="87" t="s">
        <v>447</v>
      </c>
      <c r="BX2" s="87" t="s">
        <v>467</v>
      </c>
      <c r="BY2" s="87" t="s">
        <v>447</v>
      </c>
      <c r="BZ2" s="87" t="s">
        <v>471</v>
      </c>
      <c r="CA2" s="86" t="s">
        <v>475</v>
      </c>
      <c r="CB2" s="87" t="s">
        <v>476</v>
      </c>
      <c r="CC2" s="87" t="s">
        <v>467</v>
      </c>
      <c r="CD2" s="87" t="s">
        <v>477</v>
      </c>
      <c r="CE2" s="87" t="s">
        <v>448</v>
      </c>
      <c r="CF2" s="87" t="s">
        <v>478</v>
      </c>
      <c r="CG2" s="86" t="s">
        <v>453</v>
      </c>
      <c r="CH2" s="86" t="s">
        <v>448</v>
      </c>
      <c r="CI2" s="86" t="s">
        <v>479</v>
      </c>
      <c r="CJ2" s="86" t="s">
        <v>451</v>
      </c>
      <c r="CK2" s="86" t="s">
        <v>473</v>
      </c>
      <c r="CL2" s="87" t="s">
        <v>471</v>
      </c>
      <c r="CM2" s="86" t="s">
        <v>480</v>
      </c>
      <c r="CN2" s="86" t="s">
        <v>450</v>
      </c>
      <c r="CO2" s="105"/>
      <c r="CP2" s="104" t="s">
        <v>562</v>
      </c>
      <c r="CQ2" s="104" t="s">
        <v>563</v>
      </c>
      <c r="CR2" s="106"/>
      <c r="CS2" s="86" t="s">
        <v>481</v>
      </c>
      <c r="CT2" s="86" t="s">
        <v>481</v>
      </c>
      <c r="CU2" s="86" t="s">
        <v>481</v>
      </c>
      <c r="CV2" s="86" t="s">
        <v>482</v>
      </c>
      <c r="CW2" s="86" t="s">
        <v>483</v>
      </c>
      <c r="CX2" s="86" t="s">
        <v>484</v>
      </c>
      <c r="CY2" s="86" t="s">
        <v>484</v>
      </c>
      <c r="CZ2" s="86" t="s">
        <v>485</v>
      </c>
      <c r="DA2" s="86" t="s">
        <v>486</v>
      </c>
      <c r="DB2" s="86" t="s">
        <v>486</v>
      </c>
      <c r="DC2" s="86" t="s">
        <v>487</v>
      </c>
      <c r="DD2" s="86" t="s">
        <v>488</v>
      </c>
      <c r="DE2" s="86" t="s">
        <v>489</v>
      </c>
      <c r="DF2" s="86" t="s">
        <v>490</v>
      </c>
      <c r="DG2" s="86" t="s">
        <v>490</v>
      </c>
      <c r="DH2" s="104" t="s">
        <v>491</v>
      </c>
      <c r="DI2" s="104" t="s">
        <v>491</v>
      </c>
      <c r="DJ2" s="104" t="s">
        <v>491</v>
      </c>
      <c r="DK2" s="87" t="s">
        <v>492</v>
      </c>
      <c r="DL2" s="301" t="s">
        <v>595</v>
      </c>
      <c r="DM2" s="86" t="s">
        <v>493</v>
      </c>
      <c r="DN2" s="86" t="s">
        <v>494</v>
      </c>
      <c r="DO2" s="86" t="s">
        <v>489</v>
      </c>
      <c r="DP2" s="86" t="s">
        <v>490</v>
      </c>
      <c r="DQ2" s="86" t="s">
        <v>490</v>
      </c>
      <c r="DR2" s="86" t="s">
        <v>490</v>
      </c>
      <c r="DS2" s="86" t="s">
        <v>493</v>
      </c>
      <c r="DT2" s="86" t="s">
        <v>494</v>
      </c>
      <c r="DU2" s="86" t="s">
        <v>489</v>
      </c>
      <c r="DV2" s="86" t="s">
        <v>490</v>
      </c>
      <c r="DW2" s="86" t="s">
        <v>490</v>
      </c>
      <c r="DX2" s="86" t="s">
        <v>490</v>
      </c>
      <c r="DY2" s="86" t="s">
        <v>495</v>
      </c>
      <c r="DZ2" s="86" t="s">
        <v>495</v>
      </c>
      <c r="EA2" s="86" t="s">
        <v>495</v>
      </c>
      <c r="EB2" s="86" t="s">
        <v>495</v>
      </c>
      <c r="EC2" s="115" t="s">
        <v>495</v>
      </c>
      <c r="ED2" s="115" t="s">
        <v>495</v>
      </c>
      <c r="EE2" s="115" t="s">
        <v>495</v>
      </c>
      <c r="EF2" s="115" t="s">
        <v>495</v>
      </c>
      <c r="EG2" s="459" t="s">
        <v>642</v>
      </c>
      <c r="EH2" s="459" t="s">
        <v>642</v>
      </c>
      <c r="EI2" s="459" t="s">
        <v>646</v>
      </c>
      <c r="EJ2" s="459" t="s">
        <v>647</v>
      </c>
      <c r="EK2" s="459" t="s">
        <v>642</v>
      </c>
      <c r="EL2" s="459" t="s">
        <v>650</v>
      </c>
      <c r="EM2" s="459" t="s">
        <v>642</v>
      </c>
      <c r="EN2" s="459" t="s">
        <v>650</v>
      </c>
    </row>
    <row r="3" spans="1:144" ht="22.5" customHeight="1">
      <c r="A3" s="752" t="s">
        <v>496</v>
      </c>
      <c r="B3" s="751" t="s">
        <v>497</v>
      </c>
      <c r="C3" s="751"/>
      <c r="D3" s="88">
        <v>1</v>
      </c>
      <c r="E3" s="88">
        <v>2</v>
      </c>
      <c r="F3" s="88">
        <v>3</v>
      </c>
      <c r="G3" s="88">
        <v>4</v>
      </c>
      <c r="H3" s="88">
        <v>5</v>
      </c>
      <c r="I3" s="88">
        <v>6</v>
      </c>
      <c r="J3" s="88">
        <v>7</v>
      </c>
      <c r="K3" s="88">
        <v>8</v>
      </c>
      <c r="L3" s="88">
        <v>9</v>
      </c>
      <c r="M3" s="88">
        <v>10</v>
      </c>
      <c r="N3" s="89">
        <f>N4*N5</f>
        <v>448146</v>
      </c>
      <c r="O3" s="89">
        <f>O4*O5</f>
        <v>522636.79999999993</v>
      </c>
      <c r="P3" s="89">
        <v>2774700</v>
      </c>
      <c r="Q3" s="89">
        <v>2886600</v>
      </c>
      <c r="R3" s="89">
        <v>880600</v>
      </c>
      <c r="S3" s="89">
        <v>1404861</v>
      </c>
      <c r="T3" s="89">
        <v>1368650</v>
      </c>
      <c r="U3" s="89">
        <v>1626700</v>
      </c>
      <c r="V3" s="89">
        <v>381300</v>
      </c>
      <c r="W3" s="89">
        <v>210000</v>
      </c>
      <c r="X3" s="89">
        <v>3096250</v>
      </c>
      <c r="Y3" s="89">
        <v>1200000</v>
      </c>
      <c r="Z3" s="89">
        <v>847980</v>
      </c>
      <c r="AA3" s="89">
        <v>833770</v>
      </c>
      <c r="AB3" s="89">
        <v>604500</v>
      </c>
      <c r="AC3" s="89">
        <v>1996920</v>
      </c>
      <c r="AD3" s="89">
        <v>2773194</v>
      </c>
      <c r="AE3" s="89">
        <v>2559778</v>
      </c>
      <c r="AF3" s="89">
        <v>594960</v>
      </c>
      <c r="AG3" s="89">
        <v>881256</v>
      </c>
      <c r="AH3" s="89">
        <v>3048485</v>
      </c>
      <c r="AI3" s="89">
        <v>1872643</v>
      </c>
      <c r="AJ3" s="89">
        <v>1046290</v>
      </c>
      <c r="AK3" s="89">
        <v>2280875</v>
      </c>
      <c r="AL3" s="89">
        <v>963200</v>
      </c>
      <c r="AM3" s="89">
        <v>300000</v>
      </c>
      <c r="AN3" s="89">
        <v>300000</v>
      </c>
      <c r="AO3" s="89">
        <v>984000</v>
      </c>
      <c r="AP3" s="89">
        <v>984000</v>
      </c>
      <c r="AQ3" s="89">
        <v>772267</v>
      </c>
      <c r="AR3" s="89">
        <v>400000</v>
      </c>
      <c r="AS3" s="89">
        <v>650000</v>
      </c>
      <c r="AT3" s="89">
        <v>430000</v>
      </c>
      <c r="AU3" s="89">
        <v>240000</v>
      </c>
      <c r="AV3" s="89">
        <v>500000</v>
      </c>
      <c r="AW3" s="89">
        <v>270000</v>
      </c>
      <c r="AX3" s="89">
        <v>1103880</v>
      </c>
      <c r="AY3" s="89">
        <v>2040150</v>
      </c>
      <c r="AZ3" s="89">
        <v>2382900</v>
      </c>
      <c r="BA3" s="89">
        <v>3200472</v>
      </c>
      <c r="BB3" s="89">
        <v>615725</v>
      </c>
      <c r="BC3" s="89">
        <v>4425860</v>
      </c>
      <c r="BD3" s="89">
        <v>2736720</v>
      </c>
      <c r="BE3" s="89">
        <v>1665000</v>
      </c>
      <c r="BF3" s="89">
        <v>2280000</v>
      </c>
      <c r="BG3" s="89">
        <v>2898000</v>
      </c>
      <c r="BH3" s="89">
        <v>2527200</v>
      </c>
      <c r="BI3" s="89">
        <v>7531350</v>
      </c>
      <c r="BJ3" s="89">
        <v>5122490</v>
      </c>
      <c r="BK3" s="89">
        <v>1352337</v>
      </c>
      <c r="BL3" s="89">
        <v>1563840</v>
      </c>
      <c r="BM3" s="89">
        <v>1493745</v>
      </c>
      <c r="BN3" s="89">
        <v>1171890</v>
      </c>
      <c r="BO3" s="89">
        <v>4374925</v>
      </c>
      <c r="BP3" s="89">
        <v>1381200</v>
      </c>
      <c r="BQ3" s="89">
        <v>1978435</v>
      </c>
      <c r="BR3" s="89">
        <v>12012000</v>
      </c>
      <c r="BS3" s="89">
        <v>12012000</v>
      </c>
      <c r="BT3" s="89">
        <v>2604856</v>
      </c>
      <c r="BU3" s="89">
        <v>541600</v>
      </c>
      <c r="BV3" s="89">
        <v>471000</v>
      </c>
      <c r="BW3" s="89">
        <v>817440</v>
      </c>
      <c r="BX3" s="89">
        <v>929600</v>
      </c>
      <c r="BY3" s="89">
        <v>1928900</v>
      </c>
      <c r="BZ3" s="89">
        <v>1417200</v>
      </c>
      <c r="CA3" s="89">
        <v>2478896</v>
      </c>
      <c r="CB3" s="89">
        <v>633680</v>
      </c>
      <c r="CC3" s="89">
        <v>430850</v>
      </c>
      <c r="CD3" s="89">
        <v>100000</v>
      </c>
      <c r="CE3" s="89">
        <v>407400</v>
      </c>
      <c r="CF3" s="89">
        <v>1444385</v>
      </c>
      <c r="CG3" s="89">
        <v>1069335</v>
      </c>
      <c r="CH3" s="89">
        <v>1610440</v>
      </c>
      <c r="CI3" s="89">
        <v>896578</v>
      </c>
      <c r="CJ3" s="89">
        <v>1704030</v>
      </c>
      <c r="CK3" s="89">
        <v>825000</v>
      </c>
      <c r="CL3" s="89">
        <v>1493500</v>
      </c>
      <c r="CM3" s="89">
        <v>1000800</v>
      </c>
      <c r="CN3" s="89">
        <v>2387000</v>
      </c>
      <c r="CO3" s="108">
        <v>117000</v>
      </c>
      <c r="CP3" s="108">
        <v>130000</v>
      </c>
      <c r="CQ3" s="108">
        <v>140580</v>
      </c>
      <c r="CR3" s="89">
        <v>113000</v>
      </c>
      <c r="CS3" s="89">
        <v>132665</v>
      </c>
      <c r="CT3" s="89">
        <v>204100</v>
      </c>
      <c r="CU3" s="89">
        <v>142870</v>
      </c>
      <c r="CV3" s="89">
        <v>171528</v>
      </c>
      <c r="CW3" s="89">
        <v>173485</v>
      </c>
      <c r="CX3" s="89">
        <v>143010</v>
      </c>
      <c r="CY3" s="89">
        <v>163440</v>
      </c>
      <c r="CZ3" s="89">
        <v>102150</v>
      </c>
      <c r="DA3" s="89">
        <v>163440</v>
      </c>
      <c r="DB3" s="89">
        <v>122580</v>
      </c>
      <c r="DC3" s="89">
        <v>183690</v>
      </c>
      <c r="DD3" s="89">
        <v>183690</v>
      </c>
      <c r="DE3" s="89">
        <v>163280</v>
      </c>
      <c r="DF3" s="89">
        <v>143010</v>
      </c>
      <c r="DG3" s="89">
        <v>204100</v>
      </c>
      <c r="DH3" s="108">
        <v>93750</v>
      </c>
      <c r="DI3" s="108">
        <v>62500</v>
      </c>
      <c r="DJ3" s="108">
        <v>93750</v>
      </c>
      <c r="DK3" s="89">
        <v>867900</v>
      </c>
      <c r="DL3" s="112">
        <v>418000</v>
      </c>
      <c r="DM3" s="89">
        <v>123060</v>
      </c>
      <c r="DN3" s="89">
        <v>660000</v>
      </c>
      <c r="DO3" s="89">
        <v>120400</v>
      </c>
      <c r="DP3" s="89">
        <v>80000</v>
      </c>
      <c r="DQ3" s="89">
        <v>0</v>
      </c>
      <c r="DR3" s="89">
        <v>0</v>
      </c>
      <c r="DS3" s="89">
        <v>123060</v>
      </c>
      <c r="DT3" s="89">
        <v>660000</v>
      </c>
      <c r="DU3" s="89">
        <v>120400</v>
      </c>
      <c r="DV3" s="89">
        <v>80000</v>
      </c>
      <c r="DW3" s="89">
        <v>0</v>
      </c>
      <c r="DX3" s="89">
        <v>0</v>
      </c>
      <c r="DY3" s="108">
        <v>160000</v>
      </c>
      <c r="DZ3" s="89">
        <v>140000</v>
      </c>
      <c r="EA3" s="89">
        <v>160000</v>
      </c>
      <c r="EB3" s="89">
        <v>140000</v>
      </c>
      <c r="EC3" s="112">
        <v>509600</v>
      </c>
      <c r="ED3" s="112">
        <v>562500</v>
      </c>
      <c r="EE3" s="112">
        <v>509600</v>
      </c>
      <c r="EF3" s="112">
        <v>562500</v>
      </c>
      <c r="EG3" s="492">
        <v>1824000</v>
      </c>
      <c r="EH3" s="492">
        <v>623984</v>
      </c>
      <c r="EI3" s="492">
        <v>2512154</v>
      </c>
      <c r="EJ3" s="492">
        <v>363792</v>
      </c>
      <c r="EK3" s="492">
        <v>4373180</v>
      </c>
      <c r="EL3" s="492">
        <v>5216038</v>
      </c>
      <c r="EM3" s="492">
        <v>1276759</v>
      </c>
      <c r="EN3" s="492">
        <v>300000</v>
      </c>
    </row>
    <row r="4" spans="1:144" ht="22.5" customHeight="1">
      <c r="A4" s="752"/>
      <c r="B4" s="755" t="s">
        <v>498</v>
      </c>
      <c r="C4" s="755"/>
      <c r="D4" s="110">
        <v>5000</v>
      </c>
      <c r="E4" s="110">
        <v>4450</v>
      </c>
      <c r="F4" s="110">
        <v>375</v>
      </c>
      <c r="G4" s="110">
        <v>375</v>
      </c>
      <c r="H4" s="110">
        <v>250</v>
      </c>
      <c r="I4" s="110">
        <v>1161</v>
      </c>
      <c r="J4" s="110">
        <v>1000</v>
      </c>
      <c r="K4" s="110">
        <v>1400</v>
      </c>
      <c r="L4" s="110">
        <v>900</v>
      </c>
      <c r="M4" s="110">
        <v>5500</v>
      </c>
      <c r="N4" s="110">
        <v>1161</v>
      </c>
      <c r="O4" s="110">
        <v>896</v>
      </c>
      <c r="P4" s="89">
        <v>2120</v>
      </c>
      <c r="Q4" s="90">
        <v>2297</v>
      </c>
      <c r="R4" s="90">
        <v>700</v>
      </c>
      <c r="S4" s="90">
        <v>1369</v>
      </c>
      <c r="T4" s="90">
        <v>1350</v>
      </c>
      <c r="U4" s="90">
        <v>1400</v>
      </c>
      <c r="V4" s="90">
        <v>900</v>
      </c>
      <c r="W4" s="90">
        <v>1400</v>
      </c>
      <c r="X4" s="90">
        <v>2155</v>
      </c>
      <c r="Y4" s="90">
        <v>3000</v>
      </c>
      <c r="Z4" s="90">
        <v>2702</v>
      </c>
      <c r="AA4" s="90">
        <v>3010</v>
      </c>
      <c r="AB4" s="98">
        <v>1500</v>
      </c>
      <c r="AC4" s="90">
        <v>8300</v>
      </c>
      <c r="AD4" s="90">
        <v>10515</v>
      </c>
      <c r="AE4" s="99">
        <v>5500</v>
      </c>
      <c r="AF4" s="90">
        <v>2560</v>
      </c>
      <c r="AG4" s="90">
        <v>6036</v>
      </c>
      <c r="AH4" s="90">
        <v>7120</v>
      </c>
      <c r="AI4" s="90">
        <v>6000</v>
      </c>
      <c r="AJ4" s="90">
        <v>5390</v>
      </c>
      <c r="AK4" s="90">
        <v>3966</v>
      </c>
      <c r="AL4" s="90">
        <v>1376</v>
      </c>
      <c r="AM4" s="100">
        <v>2000</v>
      </c>
      <c r="AN4" s="100">
        <v>2000</v>
      </c>
      <c r="AO4" s="89">
        <v>1200</v>
      </c>
      <c r="AP4" s="89">
        <v>1200</v>
      </c>
      <c r="AQ4" s="89">
        <v>800</v>
      </c>
      <c r="AR4" s="95">
        <v>5000</v>
      </c>
      <c r="AS4" s="89">
        <v>1300</v>
      </c>
      <c r="AT4" s="89">
        <v>4000</v>
      </c>
      <c r="AU4" s="89">
        <v>2000</v>
      </c>
      <c r="AV4" s="89">
        <v>2000</v>
      </c>
      <c r="AW4" s="89">
        <v>1800</v>
      </c>
      <c r="AX4" s="89">
        <v>14642</v>
      </c>
      <c r="AY4" s="89">
        <v>24000</v>
      </c>
      <c r="AZ4" s="89">
        <v>50700</v>
      </c>
      <c r="BA4" s="89">
        <v>35640</v>
      </c>
      <c r="BB4" s="89">
        <v>6284</v>
      </c>
      <c r="BC4" s="89">
        <v>89300</v>
      </c>
      <c r="BD4" s="89">
        <v>35840</v>
      </c>
      <c r="BE4" s="89">
        <v>45000</v>
      </c>
      <c r="BF4" s="89">
        <v>40000</v>
      </c>
      <c r="BG4" s="89">
        <v>40000</v>
      </c>
      <c r="BH4" s="89">
        <v>36000</v>
      </c>
      <c r="BI4" s="89">
        <v>27582</v>
      </c>
      <c r="BJ4" s="89">
        <v>40614</v>
      </c>
      <c r="BK4" s="89">
        <v>15750</v>
      </c>
      <c r="BL4" s="89">
        <v>43200</v>
      </c>
      <c r="BM4" s="89">
        <v>20340</v>
      </c>
      <c r="BN4" s="89">
        <v>47655</v>
      </c>
      <c r="BO4" s="89">
        <v>41140</v>
      </c>
      <c r="BP4" s="89">
        <v>34800</v>
      </c>
      <c r="BQ4" s="89">
        <v>34500</v>
      </c>
      <c r="BR4" s="89">
        <v>3420</v>
      </c>
      <c r="BS4" s="89">
        <v>3420</v>
      </c>
      <c r="BT4" s="89">
        <v>2891</v>
      </c>
      <c r="BU4" s="89">
        <v>2000</v>
      </c>
      <c r="BV4" s="89">
        <v>1800</v>
      </c>
      <c r="BW4" s="89">
        <v>2400</v>
      </c>
      <c r="BX4" s="89">
        <v>2880</v>
      </c>
      <c r="BY4" s="89">
        <v>1500</v>
      </c>
      <c r="BZ4" s="89">
        <v>1200</v>
      </c>
      <c r="CA4" s="89">
        <v>1588</v>
      </c>
      <c r="CB4" s="89">
        <v>1200</v>
      </c>
      <c r="CC4" s="89">
        <v>810</v>
      </c>
      <c r="CD4" s="89">
        <v>2000</v>
      </c>
      <c r="CE4" s="89">
        <v>776</v>
      </c>
      <c r="CF4" s="89">
        <v>1985</v>
      </c>
      <c r="CG4" s="89">
        <v>950</v>
      </c>
      <c r="CH4" s="89">
        <v>1304</v>
      </c>
      <c r="CI4" s="89">
        <v>726</v>
      </c>
      <c r="CJ4" s="89">
        <v>1140</v>
      </c>
      <c r="CK4" s="89">
        <v>600</v>
      </c>
      <c r="CL4" s="89">
        <v>1040</v>
      </c>
      <c r="CM4" s="89">
        <v>600</v>
      </c>
      <c r="CN4" s="89">
        <v>1400</v>
      </c>
      <c r="CO4" s="109">
        <v>5</v>
      </c>
      <c r="CP4" s="109">
        <v>6.5</v>
      </c>
      <c r="CQ4" s="109">
        <v>6</v>
      </c>
      <c r="CR4" s="110">
        <v>5</v>
      </c>
      <c r="CS4" s="96">
        <v>6.5</v>
      </c>
      <c r="CT4" s="96">
        <v>10</v>
      </c>
      <c r="CU4" s="96">
        <v>7</v>
      </c>
      <c r="CV4" s="96">
        <v>8.4</v>
      </c>
      <c r="CW4" s="96">
        <v>8.5</v>
      </c>
      <c r="CX4" s="96">
        <v>7</v>
      </c>
      <c r="CY4" s="96">
        <v>8</v>
      </c>
      <c r="CZ4" s="96">
        <v>5</v>
      </c>
      <c r="DA4" s="96">
        <v>8</v>
      </c>
      <c r="DB4" s="96">
        <v>6</v>
      </c>
      <c r="DC4" s="96">
        <v>9</v>
      </c>
      <c r="DD4" s="96">
        <v>9</v>
      </c>
      <c r="DE4" s="96">
        <v>8</v>
      </c>
      <c r="DF4" s="96">
        <v>7</v>
      </c>
      <c r="DG4" s="96">
        <v>10</v>
      </c>
      <c r="DH4" s="116">
        <v>375</v>
      </c>
      <c r="DI4" s="116">
        <v>250</v>
      </c>
      <c r="DJ4" s="116">
        <v>375</v>
      </c>
      <c r="DK4" s="89">
        <v>2630</v>
      </c>
      <c r="DL4" s="112">
        <v>220</v>
      </c>
      <c r="DM4" s="89">
        <v>420</v>
      </c>
      <c r="DN4" s="89">
        <v>300</v>
      </c>
      <c r="DO4" s="89">
        <v>280</v>
      </c>
      <c r="DP4" s="89">
        <v>100</v>
      </c>
      <c r="DQ4" s="89">
        <v>12200</v>
      </c>
      <c r="DR4" s="89">
        <v>13200</v>
      </c>
      <c r="DS4" s="89">
        <v>420</v>
      </c>
      <c r="DT4" s="89">
        <v>300</v>
      </c>
      <c r="DU4" s="89">
        <v>280</v>
      </c>
      <c r="DV4" s="89">
        <v>100</v>
      </c>
      <c r="DW4" s="89">
        <v>12200</v>
      </c>
      <c r="DX4" s="89">
        <v>13200</v>
      </c>
      <c r="DY4" s="89">
        <v>160</v>
      </c>
      <c r="DZ4" s="89">
        <v>200</v>
      </c>
      <c r="EA4" s="89">
        <v>160</v>
      </c>
      <c r="EB4" s="89">
        <v>200</v>
      </c>
      <c r="EC4" s="112">
        <v>4200</v>
      </c>
      <c r="ED4" s="112">
        <v>4500</v>
      </c>
      <c r="EE4" s="112">
        <v>4200</v>
      </c>
      <c r="EF4" s="112">
        <v>4500</v>
      </c>
      <c r="EG4" s="492">
        <v>1200</v>
      </c>
      <c r="EH4" s="492">
        <v>2500</v>
      </c>
      <c r="EI4" s="492">
        <v>6885</v>
      </c>
      <c r="EJ4" s="492">
        <v>886</v>
      </c>
      <c r="EK4" s="492">
        <v>25530</v>
      </c>
      <c r="EL4" s="82">
        <v>26880</v>
      </c>
      <c r="EM4" s="492">
        <v>40600</v>
      </c>
      <c r="EN4" s="492">
        <v>2000</v>
      </c>
    </row>
    <row r="5" spans="1:144" ht="22.5" customHeight="1">
      <c r="A5" s="752"/>
      <c r="B5" s="751" t="s">
        <v>499</v>
      </c>
      <c r="C5" s="751"/>
      <c r="D5" s="101">
        <v>22.5</v>
      </c>
      <c r="E5" s="101">
        <v>22.5</v>
      </c>
      <c r="F5" s="101">
        <v>250</v>
      </c>
      <c r="G5" s="101">
        <v>250</v>
      </c>
      <c r="H5" s="101">
        <v>210</v>
      </c>
      <c r="I5" s="101">
        <v>386</v>
      </c>
      <c r="J5" s="101">
        <v>2000</v>
      </c>
      <c r="K5" s="101">
        <v>150</v>
      </c>
      <c r="L5" s="101">
        <v>424</v>
      </c>
      <c r="M5" s="101">
        <v>465.4</v>
      </c>
      <c r="N5" s="101">
        <v>386</v>
      </c>
      <c r="O5" s="101">
        <v>583.3</v>
      </c>
      <c r="P5" s="91">
        <v>1309</v>
      </c>
      <c r="Q5" s="92">
        <v>1256.7</v>
      </c>
      <c r="R5" s="90">
        <v>1258</v>
      </c>
      <c r="S5" s="90">
        <v>1026</v>
      </c>
      <c r="T5" s="90">
        <v>1014</v>
      </c>
      <c r="U5" s="90">
        <v>1162</v>
      </c>
      <c r="V5" s="90">
        <v>423.9</v>
      </c>
      <c r="W5" s="90">
        <v>150</v>
      </c>
      <c r="X5" s="90">
        <v>1436</v>
      </c>
      <c r="Y5" s="90">
        <v>400</v>
      </c>
      <c r="Z5" s="92">
        <v>313.8</v>
      </c>
      <c r="AA5" s="90">
        <v>277</v>
      </c>
      <c r="AB5" s="101">
        <v>403</v>
      </c>
      <c r="AC5" s="101">
        <v>240.1</v>
      </c>
      <c r="AD5" s="101">
        <v>263.7</v>
      </c>
      <c r="AE5" s="101">
        <v>465.4</v>
      </c>
      <c r="AF5" s="101">
        <v>232.4</v>
      </c>
      <c r="AG5" s="101">
        <v>146</v>
      </c>
      <c r="AH5" s="101">
        <v>374</v>
      </c>
      <c r="AI5" s="101">
        <v>312</v>
      </c>
      <c r="AJ5" s="101">
        <v>193.8</v>
      </c>
      <c r="AK5" s="101">
        <v>575.1</v>
      </c>
      <c r="AL5" s="101">
        <v>700</v>
      </c>
      <c r="AM5" s="101">
        <v>150</v>
      </c>
      <c r="AN5" s="101">
        <v>150</v>
      </c>
      <c r="AO5" s="89">
        <v>820</v>
      </c>
      <c r="AP5" s="89">
        <v>820</v>
      </c>
      <c r="AQ5" s="89">
        <v>965</v>
      </c>
      <c r="AR5" s="89">
        <v>80</v>
      </c>
      <c r="AS5" s="89">
        <v>500</v>
      </c>
      <c r="AT5" s="96">
        <v>107.5</v>
      </c>
      <c r="AU5" s="89">
        <v>120</v>
      </c>
      <c r="AV5" s="89">
        <v>250</v>
      </c>
      <c r="AW5" s="89">
        <v>150</v>
      </c>
      <c r="AX5" s="96">
        <v>75.4</v>
      </c>
      <c r="AY5" s="89">
        <v>85</v>
      </c>
      <c r="AZ5" s="89">
        <v>47</v>
      </c>
      <c r="BA5" s="89">
        <v>90</v>
      </c>
      <c r="BB5" s="89">
        <v>98</v>
      </c>
      <c r="BC5" s="96">
        <v>50.1</v>
      </c>
      <c r="BD5" s="89">
        <v>76</v>
      </c>
      <c r="BE5" s="89">
        <v>37</v>
      </c>
      <c r="BF5" s="89">
        <v>57</v>
      </c>
      <c r="BG5" s="97">
        <v>72.45</v>
      </c>
      <c r="BH5" s="96">
        <v>70.2</v>
      </c>
      <c r="BI5" s="89">
        <v>273</v>
      </c>
      <c r="BJ5" s="96">
        <v>126.1</v>
      </c>
      <c r="BK5" s="96">
        <v>85.8</v>
      </c>
      <c r="BL5" s="96">
        <v>36.2</v>
      </c>
      <c r="BM5" s="89">
        <v>73</v>
      </c>
      <c r="BN5" s="96">
        <v>24.6</v>
      </c>
      <c r="BO5" s="89">
        <v>106</v>
      </c>
      <c r="BP5" s="96">
        <v>39.7</v>
      </c>
      <c r="BQ5" s="96">
        <v>57.3</v>
      </c>
      <c r="BR5" s="89">
        <v>3512</v>
      </c>
      <c r="BS5" s="89">
        <v>3512</v>
      </c>
      <c r="BT5" s="89">
        <v>901</v>
      </c>
      <c r="BU5" s="96">
        <v>270.8</v>
      </c>
      <c r="BV5" s="89">
        <v>262</v>
      </c>
      <c r="BW5" s="96">
        <v>340.6</v>
      </c>
      <c r="BX5" s="96">
        <v>322.7</v>
      </c>
      <c r="BY5" s="96">
        <v>1285.9</v>
      </c>
      <c r="BZ5" s="89">
        <v>1181</v>
      </c>
      <c r="CA5" s="89">
        <v>1561</v>
      </c>
      <c r="CB5" s="89">
        <v>528</v>
      </c>
      <c r="CC5" s="89">
        <v>532</v>
      </c>
      <c r="CD5" s="89">
        <v>50</v>
      </c>
      <c r="CE5" s="89">
        <v>525</v>
      </c>
      <c r="CF5" s="97">
        <v>727.65</v>
      </c>
      <c r="CG5" s="89">
        <v>1126</v>
      </c>
      <c r="CH5" s="89">
        <v>1235</v>
      </c>
      <c r="CI5" s="89">
        <v>1235</v>
      </c>
      <c r="CJ5" s="89">
        <v>1983</v>
      </c>
      <c r="CK5" s="89">
        <v>1375</v>
      </c>
      <c r="CL5" s="89">
        <v>1436</v>
      </c>
      <c r="CM5" s="89">
        <v>1668</v>
      </c>
      <c r="CN5" s="89">
        <v>1705</v>
      </c>
      <c r="CO5" s="111">
        <v>22.5</v>
      </c>
      <c r="CP5" s="111">
        <v>20</v>
      </c>
      <c r="CQ5" s="111">
        <v>23.4</v>
      </c>
      <c r="CR5" s="89">
        <v>22600</v>
      </c>
      <c r="CS5" s="310">
        <v>20400</v>
      </c>
      <c r="CT5" s="310">
        <v>20400</v>
      </c>
      <c r="CU5" s="310">
        <v>20400</v>
      </c>
      <c r="CV5" s="310">
        <v>20420</v>
      </c>
      <c r="CW5" s="310">
        <v>20410</v>
      </c>
      <c r="CX5" s="310">
        <v>20430</v>
      </c>
      <c r="CY5" s="310">
        <v>20430</v>
      </c>
      <c r="CZ5" s="89">
        <v>20430</v>
      </c>
      <c r="DA5" s="89">
        <v>20430</v>
      </c>
      <c r="DB5" s="89">
        <v>20430</v>
      </c>
      <c r="DC5" s="89">
        <v>20410</v>
      </c>
      <c r="DD5" s="89">
        <v>20410</v>
      </c>
      <c r="DE5" s="89">
        <v>20410</v>
      </c>
      <c r="DF5" s="89">
        <v>20430</v>
      </c>
      <c r="DG5" s="89">
        <v>20410</v>
      </c>
      <c r="DH5" s="108">
        <v>250</v>
      </c>
      <c r="DI5" s="108">
        <v>250</v>
      </c>
      <c r="DJ5" s="108">
        <v>250</v>
      </c>
      <c r="DK5" s="117">
        <v>330</v>
      </c>
      <c r="DL5" s="112">
        <v>1900</v>
      </c>
      <c r="DM5" s="89">
        <v>293</v>
      </c>
      <c r="DN5" s="89">
        <v>2200</v>
      </c>
      <c r="DO5" s="89">
        <v>430</v>
      </c>
      <c r="DP5" s="89">
        <v>800</v>
      </c>
      <c r="DQ5" s="89">
        <v>0</v>
      </c>
      <c r="DR5" s="89">
        <v>0</v>
      </c>
      <c r="DS5" s="89">
        <v>293</v>
      </c>
      <c r="DT5" s="89">
        <v>2200</v>
      </c>
      <c r="DU5" s="89">
        <v>430</v>
      </c>
      <c r="DV5" s="89">
        <v>800</v>
      </c>
      <c r="DW5" s="89">
        <v>0</v>
      </c>
      <c r="DX5" s="89">
        <v>0</v>
      </c>
      <c r="DY5" s="89">
        <v>1000</v>
      </c>
      <c r="DZ5" s="89">
        <v>700</v>
      </c>
      <c r="EA5" s="89">
        <v>1000</v>
      </c>
      <c r="EB5" s="89">
        <v>700</v>
      </c>
      <c r="EC5" s="117">
        <v>121.3</v>
      </c>
      <c r="ED5" s="112">
        <v>125</v>
      </c>
      <c r="EE5" s="117">
        <v>121.3</v>
      </c>
      <c r="EF5" s="112">
        <v>125</v>
      </c>
      <c r="EG5" s="492">
        <v>1520</v>
      </c>
      <c r="EH5" s="492">
        <v>250</v>
      </c>
      <c r="EI5" s="492">
        <v>365</v>
      </c>
      <c r="EJ5" s="492">
        <v>410.6</v>
      </c>
      <c r="EK5" s="492">
        <v>19.3</v>
      </c>
      <c r="EL5" s="82">
        <v>194</v>
      </c>
      <c r="EM5" s="492">
        <v>31.4</v>
      </c>
      <c r="EN5" s="492">
        <v>150</v>
      </c>
    </row>
    <row r="6" spans="1:144" ht="22.5" customHeight="1">
      <c r="A6" s="756" t="s">
        <v>500</v>
      </c>
      <c r="B6" s="751" t="s">
        <v>501</v>
      </c>
      <c r="C6" s="751"/>
      <c r="D6" s="89">
        <v>6000</v>
      </c>
      <c r="E6" s="89">
        <v>5000</v>
      </c>
      <c r="F6" s="89">
        <v>9996</v>
      </c>
      <c r="G6" s="89">
        <v>9996</v>
      </c>
      <c r="H6" s="89">
        <v>9996</v>
      </c>
      <c r="I6" s="89">
        <v>808</v>
      </c>
      <c r="J6" s="89">
        <v>0</v>
      </c>
      <c r="K6" s="89">
        <v>14490</v>
      </c>
      <c r="L6" s="89">
        <v>23100</v>
      </c>
      <c r="M6" s="89">
        <v>45360</v>
      </c>
      <c r="N6" s="89">
        <v>0</v>
      </c>
      <c r="O6" s="89">
        <v>0</v>
      </c>
      <c r="P6" s="89">
        <v>2100</v>
      </c>
      <c r="Q6" s="89">
        <v>84000</v>
      </c>
      <c r="R6" s="89">
        <v>25641</v>
      </c>
      <c r="S6" s="89">
        <v>4578</v>
      </c>
      <c r="T6" s="89">
        <v>7560</v>
      </c>
      <c r="U6" s="89">
        <v>25641</v>
      </c>
      <c r="V6" s="89">
        <v>23100</v>
      </c>
      <c r="W6" s="89">
        <v>14490</v>
      </c>
      <c r="X6" s="89">
        <v>44625</v>
      </c>
      <c r="Y6" s="89">
        <v>35301</v>
      </c>
      <c r="Z6" s="89">
        <v>34125</v>
      </c>
      <c r="AA6" s="89">
        <v>34125</v>
      </c>
      <c r="AB6" s="89">
        <v>8400</v>
      </c>
      <c r="AC6" s="89">
        <v>22019</v>
      </c>
      <c r="AD6" s="89">
        <v>12810</v>
      </c>
      <c r="AE6" s="89">
        <v>45360</v>
      </c>
      <c r="AF6" s="89">
        <v>28350</v>
      </c>
      <c r="AG6" s="89">
        <v>14399</v>
      </c>
      <c r="AH6" s="89">
        <v>7980</v>
      </c>
      <c r="AI6" s="89">
        <v>0</v>
      </c>
      <c r="AJ6" s="89">
        <v>0</v>
      </c>
      <c r="AK6" s="89">
        <v>69300</v>
      </c>
      <c r="AL6" s="89">
        <v>45150</v>
      </c>
      <c r="AM6" s="89">
        <v>12600</v>
      </c>
      <c r="AN6" s="102">
        <v>6300</v>
      </c>
      <c r="AO6" s="89">
        <v>0</v>
      </c>
      <c r="AP6" s="89">
        <v>33600</v>
      </c>
      <c r="AQ6" s="89">
        <v>0</v>
      </c>
      <c r="AR6" s="89">
        <v>16905</v>
      </c>
      <c r="AS6" s="89">
        <v>276308</v>
      </c>
      <c r="AT6" s="89">
        <v>28712</v>
      </c>
      <c r="AU6" s="89">
        <v>38346</v>
      </c>
      <c r="AV6" s="89">
        <v>10500</v>
      </c>
      <c r="AW6" s="89">
        <v>42105</v>
      </c>
      <c r="AX6" s="89">
        <v>0</v>
      </c>
      <c r="AY6" s="89">
        <v>270000</v>
      </c>
      <c r="AZ6" s="89">
        <v>0</v>
      </c>
      <c r="BA6" s="89">
        <v>19440</v>
      </c>
      <c r="BB6" s="89">
        <v>0</v>
      </c>
      <c r="BC6" s="89">
        <v>514490</v>
      </c>
      <c r="BD6" s="89">
        <v>19488</v>
      </c>
      <c r="BE6" s="89">
        <v>1733</v>
      </c>
      <c r="BF6" s="89">
        <v>1733</v>
      </c>
      <c r="BG6" s="89">
        <v>1890</v>
      </c>
      <c r="BH6" s="89">
        <v>0</v>
      </c>
      <c r="BI6" s="89">
        <v>297000</v>
      </c>
      <c r="BJ6" s="89">
        <v>270000</v>
      </c>
      <c r="BK6" s="89">
        <v>0</v>
      </c>
      <c r="BL6" s="89">
        <v>94122</v>
      </c>
      <c r="BM6" s="89">
        <v>11270</v>
      </c>
      <c r="BN6" s="89">
        <v>0</v>
      </c>
      <c r="BO6" s="89">
        <v>12250</v>
      </c>
      <c r="BP6" s="89">
        <v>0</v>
      </c>
      <c r="BQ6" s="89">
        <v>2205</v>
      </c>
      <c r="BR6" s="89">
        <v>1800000</v>
      </c>
      <c r="BS6" s="89">
        <v>1890000</v>
      </c>
      <c r="BT6" s="89">
        <v>28703</v>
      </c>
      <c r="BU6" s="89">
        <v>0</v>
      </c>
      <c r="BV6" s="89">
        <v>0</v>
      </c>
      <c r="BW6" s="89">
        <v>0</v>
      </c>
      <c r="BX6" s="89">
        <v>0</v>
      </c>
      <c r="BY6" s="89">
        <v>0</v>
      </c>
      <c r="BZ6" s="89">
        <v>0</v>
      </c>
      <c r="CA6" s="89">
        <v>0</v>
      </c>
      <c r="CB6" s="89">
        <v>0</v>
      </c>
      <c r="CC6" s="89">
        <v>22500</v>
      </c>
      <c r="CD6" s="89">
        <v>0</v>
      </c>
      <c r="CE6" s="89">
        <v>0</v>
      </c>
      <c r="CF6" s="89">
        <v>0</v>
      </c>
      <c r="CG6" s="89">
        <v>0</v>
      </c>
      <c r="CH6" s="89">
        <v>0</v>
      </c>
      <c r="CI6" s="89">
        <v>0</v>
      </c>
      <c r="CJ6" s="89">
        <v>21452</v>
      </c>
      <c r="CK6" s="89">
        <v>0</v>
      </c>
      <c r="CL6" s="89">
        <v>0</v>
      </c>
      <c r="CM6" s="89">
        <v>0</v>
      </c>
      <c r="CN6" s="89">
        <v>0</v>
      </c>
      <c r="CO6" s="108">
        <v>8610</v>
      </c>
      <c r="CP6" s="108">
        <v>14700</v>
      </c>
      <c r="CQ6" s="108">
        <v>2520</v>
      </c>
      <c r="CR6" s="112">
        <v>2520</v>
      </c>
      <c r="CS6" s="89">
        <v>15750</v>
      </c>
      <c r="CT6" s="89">
        <v>15750</v>
      </c>
      <c r="CU6" s="89">
        <v>0</v>
      </c>
      <c r="CV6" s="89">
        <v>3150</v>
      </c>
      <c r="CW6" s="89">
        <v>14490</v>
      </c>
      <c r="CX6" s="89">
        <v>6300</v>
      </c>
      <c r="CY6" s="89">
        <v>0</v>
      </c>
      <c r="CZ6" s="89">
        <v>9178</v>
      </c>
      <c r="DA6" s="89">
        <v>9178</v>
      </c>
      <c r="DB6" s="89">
        <v>0</v>
      </c>
      <c r="DC6" s="89">
        <v>13165</v>
      </c>
      <c r="DD6" s="89">
        <v>13165</v>
      </c>
      <c r="DE6" s="89">
        <v>12600</v>
      </c>
      <c r="DF6" s="89">
        <v>12942</v>
      </c>
      <c r="DG6" s="89">
        <v>4515</v>
      </c>
      <c r="DH6" s="108">
        <v>9996</v>
      </c>
      <c r="DI6" s="108">
        <v>9996</v>
      </c>
      <c r="DJ6" s="108">
        <v>9996</v>
      </c>
      <c r="DK6" s="311"/>
      <c r="DL6" s="112">
        <v>2423</v>
      </c>
      <c r="DM6" s="89">
        <v>8400</v>
      </c>
      <c r="DN6" s="89">
        <v>0</v>
      </c>
      <c r="DO6" s="89">
        <v>8820</v>
      </c>
      <c r="DP6" s="89">
        <v>735</v>
      </c>
      <c r="DQ6" s="89">
        <v>2352</v>
      </c>
      <c r="DR6" s="89">
        <v>2352</v>
      </c>
      <c r="DS6" s="89">
        <v>8400</v>
      </c>
      <c r="DT6" s="89">
        <v>0</v>
      </c>
      <c r="DU6" s="89">
        <v>8820</v>
      </c>
      <c r="DV6" s="89">
        <v>735</v>
      </c>
      <c r="DW6" s="89">
        <v>2352</v>
      </c>
      <c r="DX6" s="89">
        <v>2352</v>
      </c>
      <c r="DY6" s="89">
        <v>2100</v>
      </c>
      <c r="DZ6" s="89">
        <v>2100</v>
      </c>
      <c r="EA6" s="89">
        <v>1400</v>
      </c>
      <c r="EB6" s="89">
        <v>1400</v>
      </c>
      <c r="EC6" s="112">
        <v>105525</v>
      </c>
      <c r="ED6" s="112">
        <v>105525</v>
      </c>
      <c r="EE6" s="112">
        <v>42945</v>
      </c>
      <c r="EF6" s="112">
        <v>42945</v>
      </c>
      <c r="EG6" s="492"/>
      <c r="EH6" s="492"/>
      <c r="EI6" s="492">
        <v>31824</v>
      </c>
      <c r="EJ6" s="492">
        <v>8269</v>
      </c>
      <c r="EK6" s="492">
        <v>493812</v>
      </c>
      <c r="EL6" s="492">
        <v>673960</v>
      </c>
      <c r="EM6" s="492"/>
      <c r="EN6" s="492"/>
    </row>
    <row r="7" spans="1:144" ht="22.5" customHeight="1">
      <c r="A7" s="756"/>
      <c r="B7" s="751" t="s">
        <v>502</v>
      </c>
      <c r="C7" s="751"/>
      <c r="D7" s="89">
        <v>14824</v>
      </c>
      <c r="E7" s="101">
        <v>8557</v>
      </c>
      <c r="F7" s="101">
        <v>4431</v>
      </c>
      <c r="G7" s="101">
        <v>4431</v>
      </c>
      <c r="H7" s="101">
        <v>4431</v>
      </c>
      <c r="I7" s="101">
        <v>8983</v>
      </c>
      <c r="J7" s="101">
        <v>38194</v>
      </c>
      <c r="K7" s="101">
        <v>36241</v>
      </c>
      <c r="L7" s="101">
        <v>34367</v>
      </c>
      <c r="M7" s="101">
        <v>105486</v>
      </c>
      <c r="N7" s="101">
        <v>8983</v>
      </c>
      <c r="O7" s="101">
        <v>8628</v>
      </c>
      <c r="P7" s="89">
        <v>94963</v>
      </c>
      <c r="Q7" s="89">
        <v>79811</v>
      </c>
      <c r="R7" s="89">
        <v>109801</v>
      </c>
      <c r="S7" s="89">
        <v>74072</v>
      </c>
      <c r="T7" s="89">
        <v>63572</v>
      </c>
      <c r="U7" s="89">
        <v>109801</v>
      </c>
      <c r="V7" s="89">
        <v>34367</v>
      </c>
      <c r="W7" s="89">
        <v>36241</v>
      </c>
      <c r="X7" s="89">
        <v>48414</v>
      </c>
      <c r="Y7" s="89">
        <v>63948</v>
      </c>
      <c r="Z7" s="89">
        <v>53889</v>
      </c>
      <c r="AA7" s="89">
        <v>36034</v>
      </c>
      <c r="AB7" s="89">
        <v>11960</v>
      </c>
      <c r="AC7" s="89">
        <v>114177</v>
      </c>
      <c r="AD7" s="89">
        <v>106465</v>
      </c>
      <c r="AE7" s="89">
        <v>105486</v>
      </c>
      <c r="AF7" s="89">
        <v>58486</v>
      </c>
      <c r="AG7" s="89">
        <v>96481</v>
      </c>
      <c r="AH7" s="89">
        <v>156393</v>
      </c>
      <c r="AI7" s="89">
        <v>89954</v>
      </c>
      <c r="AJ7" s="89">
        <v>65374</v>
      </c>
      <c r="AK7" s="89">
        <v>103618</v>
      </c>
      <c r="AL7" s="89">
        <v>67137</v>
      </c>
      <c r="AM7" s="89">
        <v>25725</v>
      </c>
      <c r="AN7" s="102">
        <v>9883</v>
      </c>
      <c r="AO7" s="89">
        <v>38136</v>
      </c>
      <c r="AP7" s="89">
        <v>45360</v>
      </c>
      <c r="AQ7" s="89">
        <v>3360</v>
      </c>
      <c r="AR7" s="89">
        <v>35490</v>
      </c>
      <c r="AS7" s="89">
        <v>45255</v>
      </c>
      <c r="AT7" s="89">
        <v>14994</v>
      </c>
      <c r="AU7" s="89">
        <v>14994</v>
      </c>
      <c r="AV7" s="89">
        <v>55741</v>
      </c>
      <c r="AW7" s="89">
        <v>15582</v>
      </c>
      <c r="AX7" s="89">
        <v>19973</v>
      </c>
      <c r="AY7" s="89">
        <v>113400</v>
      </c>
      <c r="AZ7" s="89">
        <v>87454</v>
      </c>
      <c r="BA7" s="89">
        <v>20413</v>
      </c>
      <c r="BB7" s="89">
        <v>79349</v>
      </c>
      <c r="BC7" s="89">
        <v>79467</v>
      </c>
      <c r="BD7" s="89">
        <v>144375</v>
      </c>
      <c r="BE7" s="89">
        <v>87857</v>
      </c>
      <c r="BF7" s="89">
        <v>87857</v>
      </c>
      <c r="BG7" s="89">
        <v>102927</v>
      </c>
      <c r="BH7" s="89">
        <v>106179</v>
      </c>
      <c r="BI7" s="89">
        <v>34398</v>
      </c>
      <c r="BJ7" s="89">
        <v>10154</v>
      </c>
      <c r="BK7" s="89">
        <v>46358</v>
      </c>
      <c r="BL7" s="89">
        <v>61059</v>
      </c>
      <c r="BM7" s="89">
        <v>24649</v>
      </c>
      <c r="BN7" s="89">
        <v>8228</v>
      </c>
      <c r="BO7" s="89">
        <v>65038</v>
      </c>
      <c r="BP7" s="89">
        <v>24150</v>
      </c>
      <c r="BQ7" s="89">
        <v>35028</v>
      </c>
      <c r="BR7" s="89">
        <v>20685</v>
      </c>
      <c r="BS7" s="89">
        <v>20685</v>
      </c>
      <c r="BT7" s="89">
        <v>58563</v>
      </c>
      <c r="BU7" s="89">
        <v>57236</v>
      </c>
      <c r="BV7" s="89">
        <v>53218</v>
      </c>
      <c r="BW7" s="89">
        <v>48090</v>
      </c>
      <c r="BX7" s="89">
        <v>70309</v>
      </c>
      <c r="BY7" s="89">
        <v>62667</v>
      </c>
      <c r="BZ7" s="89">
        <v>38194</v>
      </c>
      <c r="CA7" s="89">
        <v>99238</v>
      </c>
      <c r="CB7" s="89">
        <v>54317</v>
      </c>
      <c r="CC7" s="89">
        <v>45750</v>
      </c>
      <c r="CD7" s="89">
        <v>10143</v>
      </c>
      <c r="CE7" s="89">
        <v>1344</v>
      </c>
      <c r="CF7" s="89">
        <v>6358</v>
      </c>
      <c r="CG7" s="89">
        <v>27216</v>
      </c>
      <c r="CH7" s="89">
        <v>66570</v>
      </c>
      <c r="CI7" s="89">
        <v>66570</v>
      </c>
      <c r="CJ7" s="89">
        <v>53634</v>
      </c>
      <c r="CK7" s="89">
        <v>25620</v>
      </c>
      <c r="CL7" s="89">
        <v>60239</v>
      </c>
      <c r="CM7" s="89">
        <v>69098</v>
      </c>
      <c r="CN7" s="89">
        <v>198240</v>
      </c>
      <c r="CO7" s="108">
        <v>11186</v>
      </c>
      <c r="CP7" s="108">
        <v>11025</v>
      </c>
      <c r="CQ7" s="108">
        <v>11346</v>
      </c>
      <c r="CR7" s="112">
        <v>7665</v>
      </c>
      <c r="CS7" s="89">
        <v>10080</v>
      </c>
      <c r="CT7" s="89">
        <v>12600</v>
      </c>
      <c r="CU7" s="89">
        <v>11340</v>
      </c>
      <c r="CV7" s="89">
        <v>10868</v>
      </c>
      <c r="CW7" s="89">
        <v>15960</v>
      </c>
      <c r="CX7" s="89">
        <v>12338</v>
      </c>
      <c r="CY7" s="89">
        <v>12338</v>
      </c>
      <c r="CZ7" s="89">
        <v>12012</v>
      </c>
      <c r="DA7" s="89">
        <v>18438</v>
      </c>
      <c r="DB7" s="89">
        <v>12852</v>
      </c>
      <c r="DC7" s="89">
        <v>10878</v>
      </c>
      <c r="DD7" s="89">
        <v>11424</v>
      </c>
      <c r="DE7" s="89">
        <v>9996</v>
      </c>
      <c r="DF7" s="89">
        <v>10143</v>
      </c>
      <c r="DG7" s="89">
        <v>13041</v>
      </c>
      <c r="DH7" s="108">
        <v>4431</v>
      </c>
      <c r="DI7" s="108">
        <v>4431</v>
      </c>
      <c r="DJ7" s="108">
        <v>4431</v>
      </c>
      <c r="DK7" s="311">
        <v>6513</v>
      </c>
      <c r="DL7" s="112">
        <v>20790</v>
      </c>
      <c r="DM7" s="89">
        <v>10605</v>
      </c>
      <c r="DN7" s="89">
        <v>33340</v>
      </c>
      <c r="DO7" s="89">
        <v>843</v>
      </c>
      <c r="DP7" s="89">
        <v>2898</v>
      </c>
      <c r="DQ7" s="89">
        <v>16155</v>
      </c>
      <c r="DR7" s="89">
        <v>25445</v>
      </c>
      <c r="DS7" s="89">
        <v>10605</v>
      </c>
      <c r="DT7" s="89">
        <v>33340</v>
      </c>
      <c r="DU7" s="89">
        <v>843</v>
      </c>
      <c r="DV7" s="89">
        <v>2898</v>
      </c>
      <c r="DW7" s="89">
        <v>16155</v>
      </c>
      <c r="DX7" s="89">
        <v>25445</v>
      </c>
      <c r="DY7" s="89">
        <v>54432</v>
      </c>
      <c r="DZ7" s="89">
        <v>54432</v>
      </c>
      <c r="EA7" s="89">
        <v>54432</v>
      </c>
      <c r="EB7" s="89">
        <v>54432</v>
      </c>
      <c r="EC7" s="112">
        <v>94536</v>
      </c>
      <c r="ED7" s="112">
        <v>94536</v>
      </c>
      <c r="EE7" s="112">
        <v>58752</v>
      </c>
      <c r="EF7" s="112">
        <v>58752</v>
      </c>
      <c r="EG7" s="492">
        <v>51550</v>
      </c>
      <c r="EH7" s="492">
        <v>37840</v>
      </c>
      <c r="EI7" s="492">
        <v>34710</v>
      </c>
      <c r="EJ7" s="492">
        <v>28975</v>
      </c>
      <c r="EK7" s="492">
        <v>24728</v>
      </c>
      <c r="EL7" s="492">
        <v>8657</v>
      </c>
      <c r="EM7" s="492">
        <v>38568</v>
      </c>
      <c r="EN7" s="492">
        <v>8188</v>
      </c>
    </row>
    <row r="8" spans="1:144" ht="22.5" customHeight="1">
      <c r="A8" s="756"/>
      <c r="B8" s="751" t="s">
        <v>503</v>
      </c>
      <c r="C8" s="751"/>
      <c r="D8" s="89">
        <v>13117</v>
      </c>
      <c r="E8" s="89">
        <v>7119</v>
      </c>
      <c r="F8" s="89">
        <v>7925</v>
      </c>
      <c r="G8" s="89">
        <v>7925</v>
      </c>
      <c r="H8" s="89">
        <v>7925</v>
      </c>
      <c r="I8" s="89">
        <v>5728</v>
      </c>
      <c r="J8" s="89">
        <v>34923</v>
      </c>
      <c r="K8" s="89">
        <v>15796</v>
      </c>
      <c r="L8" s="89">
        <v>3402</v>
      </c>
      <c r="M8" s="89">
        <v>16434</v>
      </c>
      <c r="N8" s="89">
        <v>5728</v>
      </c>
      <c r="O8" s="89">
        <v>7320</v>
      </c>
      <c r="P8" s="89">
        <v>23167</v>
      </c>
      <c r="Q8" s="89">
        <v>20580</v>
      </c>
      <c r="R8" s="89">
        <v>7358</v>
      </c>
      <c r="S8" s="89">
        <v>10988</v>
      </c>
      <c r="T8" s="89">
        <v>11072</v>
      </c>
      <c r="U8" s="89">
        <v>7947</v>
      </c>
      <c r="V8" s="89">
        <v>3402</v>
      </c>
      <c r="W8" s="89">
        <v>15796</v>
      </c>
      <c r="X8" s="89">
        <v>11768</v>
      </c>
      <c r="Y8" s="89">
        <v>11322</v>
      </c>
      <c r="Z8" s="89">
        <v>29783</v>
      </c>
      <c r="AA8" s="89">
        <v>15687</v>
      </c>
      <c r="AB8" s="89">
        <v>13923</v>
      </c>
      <c r="AC8" s="89">
        <v>27381</v>
      </c>
      <c r="AD8" s="89">
        <v>60385</v>
      </c>
      <c r="AE8" s="89">
        <v>16434</v>
      </c>
      <c r="AF8" s="89">
        <v>17447</v>
      </c>
      <c r="AG8" s="89">
        <v>11651</v>
      </c>
      <c r="AH8" s="89">
        <v>81561</v>
      </c>
      <c r="AI8" s="89">
        <v>13051</v>
      </c>
      <c r="AJ8" s="89">
        <v>19697</v>
      </c>
      <c r="AK8" s="89">
        <v>13324</v>
      </c>
      <c r="AL8" s="89">
        <v>3477</v>
      </c>
      <c r="AM8" s="89">
        <v>15750</v>
      </c>
      <c r="AN8" s="102">
        <v>12068</v>
      </c>
      <c r="AO8" s="89">
        <v>5041</v>
      </c>
      <c r="AP8" s="89">
        <v>5041</v>
      </c>
      <c r="AQ8" s="89">
        <v>4662</v>
      </c>
      <c r="AR8" s="89">
        <v>4841</v>
      </c>
      <c r="AS8" s="89">
        <v>63721</v>
      </c>
      <c r="AT8" s="89">
        <v>4809</v>
      </c>
      <c r="AU8" s="89">
        <v>3709</v>
      </c>
      <c r="AV8" s="89">
        <v>18858</v>
      </c>
      <c r="AW8" s="89">
        <v>0</v>
      </c>
      <c r="AX8" s="89">
        <v>7294</v>
      </c>
      <c r="AY8" s="89">
        <v>25541</v>
      </c>
      <c r="AZ8" s="89">
        <v>23831</v>
      </c>
      <c r="BA8" s="89">
        <v>58160</v>
      </c>
      <c r="BB8" s="89">
        <v>12615</v>
      </c>
      <c r="BC8" s="89">
        <v>76961</v>
      </c>
      <c r="BD8" s="89">
        <v>25145</v>
      </c>
      <c r="BE8" s="89">
        <v>110258</v>
      </c>
      <c r="BF8" s="89">
        <v>110258</v>
      </c>
      <c r="BG8" s="89">
        <v>45500</v>
      </c>
      <c r="BH8" s="89">
        <v>55778</v>
      </c>
      <c r="BI8" s="89">
        <v>25643</v>
      </c>
      <c r="BJ8" s="89">
        <v>47882</v>
      </c>
      <c r="BK8" s="89">
        <v>21137</v>
      </c>
      <c r="BL8" s="89">
        <v>11698</v>
      </c>
      <c r="BM8" s="89">
        <v>13483</v>
      </c>
      <c r="BN8" s="89">
        <v>12440</v>
      </c>
      <c r="BO8" s="89">
        <v>17893</v>
      </c>
      <c r="BP8" s="89">
        <v>29105</v>
      </c>
      <c r="BQ8" s="89">
        <v>81232</v>
      </c>
      <c r="BR8" s="89">
        <v>29105</v>
      </c>
      <c r="BS8" s="89">
        <v>29105</v>
      </c>
      <c r="BT8" s="89">
        <v>0</v>
      </c>
      <c r="BU8" s="89">
        <v>43408</v>
      </c>
      <c r="BV8" s="89">
        <v>36642</v>
      </c>
      <c r="BW8" s="89">
        <v>35551</v>
      </c>
      <c r="BX8" s="89">
        <v>45640</v>
      </c>
      <c r="BY8" s="89">
        <v>38068</v>
      </c>
      <c r="BZ8" s="89">
        <v>34923</v>
      </c>
      <c r="CA8" s="89">
        <v>45759</v>
      </c>
      <c r="CB8" s="89">
        <v>3569</v>
      </c>
      <c r="CC8" s="89">
        <v>5956</v>
      </c>
      <c r="CD8" s="89">
        <v>7136</v>
      </c>
      <c r="CE8" s="89">
        <v>4410</v>
      </c>
      <c r="CF8" s="89">
        <v>11546</v>
      </c>
      <c r="CG8" s="89">
        <v>12112</v>
      </c>
      <c r="CH8" s="89">
        <v>8523</v>
      </c>
      <c r="CI8" s="89">
        <v>8523</v>
      </c>
      <c r="CJ8" s="89">
        <v>10322</v>
      </c>
      <c r="CK8" s="89">
        <v>12867</v>
      </c>
      <c r="CL8" s="89">
        <v>24784</v>
      </c>
      <c r="CM8" s="89">
        <v>7003</v>
      </c>
      <c r="CN8" s="89">
        <v>44713</v>
      </c>
      <c r="CO8" s="108">
        <v>13117</v>
      </c>
      <c r="CP8" s="108">
        <v>13663</v>
      </c>
      <c r="CQ8" s="108">
        <v>12571</v>
      </c>
      <c r="CR8" s="112">
        <v>4868</v>
      </c>
      <c r="CS8" s="89">
        <v>5103</v>
      </c>
      <c r="CT8" s="89">
        <v>5103</v>
      </c>
      <c r="CU8" s="89">
        <v>5103</v>
      </c>
      <c r="CV8" s="89">
        <v>6644</v>
      </c>
      <c r="CW8" s="89">
        <v>10540</v>
      </c>
      <c r="CX8" s="89">
        <v>3747</v>
      </c>
      <c r="CY8" s="89">
        <v>839</v>
      </c>
      <c r="CZ8" s="89">
        <v>12635</v>
      </c>
      <c r="DA8" s="89">
        <v>14456</v>
      </c>
      <c r="DB8" s="89">
        <v>3298</v>
      </c>
      <c r="DC8" s="89">
        <v>26178</v>
      </c>
      <c r="DD8" s="89">
        <v>21978</v>
      </c>
      <c r="DE8" s="89">
        <v>10071</v>
      </c>
      <c r="DF8" s="89">
        <v>6477</v>
      </c>
      <c r="DG8" s="89">
        <v>6477</v>
      </c>
      <c r="DH8" s="108">
        <v>7925</v>
      </c>
      <c r="DI8" s="108">
        <v>7925</v>
      </c>
      <c r="DJ8" s="108">
        <v>7925</v>
      </c>
      <c r="DK8" s="311">
        <v>6725</v>
      </c>
      <c r="DL8" s="112">
        <v>22865</v>
      </c>
      <c r="DM8" s="89">
        <v>9233</v>
      </c>
      <c r="DN8" s="89">
        <v>1820</v>
      </c>
      <c r="DO8" s="89">
        <v>0</v>
      </c>
      <c r="DP8" s="89">
        <v>0</v>
      </c>
      <c r="DQ8" s="89">
        <v>0</v>
      </c>
      <c r="DR8" s="89">
        <v>0</v>
      </c>
      <c r="DS8" s="89">
        <v>9233</v>
      </c>
      <c r="DT8" s="89">
        <v>1820</v>
      </c>
      <c r="DU8" s="89">
        <v>0</v>
      </c>
      <c r="DV8" s="89">
        <v>0</v>
      </c>
      <c r="DW8" s="89">
        <v>0</v>
      </c>
      <c r="DX8" s="89">
        <v>0</v>
      </c>
      <c r="DY8" s="89">
        <v>0</v>
      </c>
      <c r="DZ8" s="89">
        <v>0</v>
      </c>
      <c r="EA8" s="89">
        <v>0</v>
      </c>
      <c r="EB8" s="89">
        <v>0</v>
      </c>
      <c r="EC8" s="112">
        <v>2247</v>
      </c>
      <c r="ED8" s="112">
        <v>2247</v>
      </c>
      <c r="EE8" s="112">
        <v>2247</v>
      </c>
      <c r="EF8" s="112">
        <v>2247</v>
      </c>
      <c r="EG8" s="492">
        <v>10222</v>
      </c>
      <c r="EH8" s="492">
        <v>45089</v>
      </c>
      <c r="EI8" s="492">
        <v>26659</v>
      </c>
      <c r="EJ8" s="492">
        <v>27516</v>
      </c>
      <c r="EK8" s="492">
        <v>82206</v>
      </c>
      <c r="EL8" s="492">
        <v>110067</v>
      </c>
      <c r="EM8" s="492">
        <v>46085</v>
      </c>
      <c r="EN8" s="492">
        <v>9024</v>
      </c>
    </row>
    <row r="9" spans="1:144" ht="22.5" customHeight="1">
      <c r="A9" s="756"/>
      <c r="B9" s="751" t="s">
        <v>504</v>
      </c>
      <c r="C9" s="751"/>
      <c r="D9" s="89">
        <v>4569</v>
      </c>
      <c r="E9" s="101">
        <v>10162</v>
      </c>
      <c r="F9" s="101">
        <v>3391</v>
      </c>
      <c r="G9" s="101">
        <v>3391</v>
      </c>
      <c r="H9" s="101">
        <v>3391</v>
      </c>
      <c r="I9" s="101">
        <v>573</v>
      </c>
      <c r="J9" s="101">
        <v>2970</v>
      </c>
      <c r="K9" s="101">
        <v>4767</v>
      </c>
      <c r="L9" s="101">
        <v>406</v>
      </c>
      <c r="M9" s="101">
        <v>12558</v>
      </c>
      <c r="N9" s="101">
        <v>573</v>
      </c>
      <c r="O9" s="101">
        <v>2748</v>
      </c>
      <c r="P9" s="89">
        <v>88566</v>
      </c>
      <c r="Q9" s="89">
        <v>34652</v>
      </c>
      <c r="R9" s="89">
        <v>2221</v>
      </c>
      <c r="S9" s="89">
        <v>2028</v>
      </c>
      <c r="T9" s="89">
        <v>14717</v>
      </c>
      <c r="U9" s="89">
        <v>2352</v>
      </c>
      <c r="V9" s="89">
        <v>406</v>
      </c>
      <c r="W9" s="89">
        <v>4767</v>
      </c>
      <c r="X9" s="89">
        <v>2181</v>
      </c>
      <c r="Y9" s="89">
        <v>1934</v>
      </c>
      <c r="Z9" s="89">
        <v>2432</v>
      </c>
      <c r="AA9" s="89">
        <v>1889</v>
      </c>
      <c r="AB9" s="89">
        <v>1269</v>
      </c>
      <c r="AC9" s="89">
        <v>1770</v>
      </c>
      <c r="AD9" s="89">
        <v>9098</v>
      </c>
      <c r="AE9" s="89">
        <v>12558</v>
      </c>
      <c r="AF9" s="89">
        <v>3494</v>
      </c>
      <c r="AG9" s="89">
        <v>10670</v>
      </c>
      <c r="AH9" s="89">
        <v>7868</v>
      </c>
      <c r="AI9" s="89">
        <v>2656</v>
      </c>
      <c r="AJ9" s="89">
        <v>6366</v>
      </c>
      <c r="AK9" s="89">
        <v>4429</v>
      </c>
      <c r="AL9" s="89">
        <v>1490</v>
      </c>
      <c r="AM9" s="89">
        <v>503</v>
      </c>
      <c r="AN9" s="102">
        <v>9284</v>
      </c>
      <c r="AO9" s="89">
        <v>4021</v>
      </c>
      <c r="AP9" s="89">
        <v>1578</v>
      </c>
      <c r="AQ9" s="89">
        <v>4809</v>
      </c>
      <c r="AR9" s="89">
        <v>2582</v>
      </c>
      <c r="AS9" s="89">
        <v>11358</v>
      </c>
      <c r="AT9" s="89">
        <v>1519</v>
      </c>
      <c r="AU9" s="89">
        <v>1466</v>
      </c>
      <c r="AV9" s="89">
        <v>1290</v>
      </c>
      <c r="AW9" s="89">
        <v>4726</v>
      </c>
      <c r="AX9" s="89">
        <v>546</v>
      </c>
      <c r="AY9" s="89">
        <v>96000</v>
      </c>
      <c r="AZ9" s="89">
        <v>39444</v>
      </c>
      <c r="BA9" s="89">
        <v>8050</v>
      </c>
      <c r="BB9" s="89">
        <v>664</v>
      </c>
      <c r="BC9" s="89">
        <v>66126</v>
      </c>
      <c r="BD9" s="89">
        <v>37368</v>
      </c>
      <c r="BE9" s="89">
        <v>28724</v>
      </c>
      <c r="BF9" s="89">
        <v>28898</v>
      </c>
      <c r="BG9" s="89">
        <v>8585</v>
      </c>
      <c r="BH9" s="89">
        <v>80710</v>
      </c>
      <c r="BI9" s="89">
        <v>6157</v>
      </c>
      <c r="BJ9" s="89">
        <v>529865</v>
      </c>
      <c r="BK9" s="89">
        <v>2673</v>
      </c>
      <c r="BL9" s="89">
        <v>811</v>
      </c>
      <c r="BM9" s="89">
        <v>673</v>
      </c>
      <c r="BN9" s="89">
        <v>2106</v>
      </c>
      <c r="BO9" s="89">
        <v>1664</v>
      </c>
      <c r="BP9" s="89">
        <v>524</v>
      </c>
      <c r="BQ9" s="89">
        <v>18868</v>
      </c>
      <c r="BR9" s="89">
        <v>560465</v>
      </c>
      <c r="BS9" s="89">
        <v>29320</v>
      </c>
      <c r="BT9" s="89">
        <v>1926</v>
      </c>
      <c r="BU9" s="89">
        <v>3924</v>
      </c>
      <c r="BV9" s="89">
        <v>9274</v>
      </c>
      <c r="BW9" s="89">
        <v>3145</v>
      </c>
      <c r="BX9" s="89">
        <v>4019</v>
      </c>
      <c r="BY9" s="89">
        <v>3467</v>
      </c>
      <c r="BZ9" s="89">
        <v>2970</v>
      </c>
      <c r="CA9" s="89">
        <v>22669</v>
      </c>
      <c r="CB9" s="89">
        <v>881</v>
      </c>
      <c r="CC9" s="89">
        <v>0</v>
      </c>
      <c r="CD9" s="89">
        <v>1835</v>
      </c>
      <c r="CE9" s="89">
        <v>333</v>
      </c>
      <c r="CF9" s="89">
        <v>354</v>
      </c>
      <c r="CG9" s="89">
        <v>874</v>
      </c>
      <c r="CH9" s="89">
        <v>81255</v>
      </c>
      <c r="CI9" s="89">
        <v>510</v>
      </c>
      <c r="CJ9" s="89">
        <v>55623</v>
      </c>
      <c r="CK9" s="89">
        <v>998</v>
      </c>
      <c r="CL9" s="89">
        <v>4122</v>
      </c>
      <c r="CM9" s="89">
        <v>1780</v>
      </c>
      <c r="CN9" s="89">
        <v>9653</v>
      </c>
      <c r="CO9" s="108">
        <v>4569</v>
      </c>
      <c r="CP9" s="108">
        <v>7964</v>
      </c>
      <c r="CQ9" s="108">
        <v>1175</v>
      </c>
      <c r="CR9" s="112">
        <v>1934</v>
      </c>
      <c r="CS9" s="89">
        <v>824</v>
      </c>
      <c r="CT9" s="89">
        <v>824</v>
      </c>
      <c r="CU9" s="89">
        <v>824</v>
      </c>
      <c r="CV9" s="89">
        <v>1132</v>
      </c>
      <c r="CW9" s="89">
        <v>718</v>
      </c>
      <c r="CX9" s="89">
        <v>0</v>
      </c>
      <c r="CY9" s="89">
        <v>0</v>
      </c>
      <c r="CZ9" s="89">
        <v>6957</v>
      </c>
      <c r="DA9" s="89">
        <v>7681</v>
      </c>
      <c r="DB9" s="89">
        <v>2919</v>
      </c>
      <c r="DC9" s="89">
        <v>7474</v>
      </c>
      <c r="DD9" s="89">
        <v>1088</v>
      </c>
      <c r="DE9" s="89">
        <v>994</v>
      </c>
      <c r="DF9" s="89">
        <v>2137</v>
      </c>
      <c r="DG9" s="89">
        <v>5404</v>
      </c>
      <c r="DH9" s="108">
        <v>3391</v>
      </c>
      <c r="DI9" s="108">
        <v>3391</v>
      </c>
      <c r="DJ9" s="108">
        <v>3391</v>
      </c>
      <c r="DK9" s="311">
        <v>2161</v>
      </c>
      <c r="DL9" s="112">
        <v>23639</v>
      </c>
      <c r="DM9" s="89">
        <v>6362</v>
      </c>
      <c r="DN9" s="89">
        <v>25797</v>
      </c>
      <c r="DO9" s="89">
        <v>309</v>
      </c>
      <c r="DP9" s="89">
        <v>2846</v>
      </c>
      <c r="DQ9" s="89">
        <v>7557</v>
      </c>
      <c r="DR9" s="89">
        <v>7557</v>
      </c>
      <c r="DS9" s="89">
        <v>6362</v>
      </c>
      <c r="DT9" s="89">
        <v>25797</v>
      </c>
      <c r="DU9" s="89">
        <v>309</v>
      </c>
      <c r="DV9" s="89">
        <v>2846</v>
      </c>
      <c r="DW9" s="89">
        <v>7557</v>
      </c>
      <c r="DX9" s="89">
        <v>7557</v>
      </c>
      <c r="DY9" s="89">
        <v>0</v>
      </c>
      <c r="DZ9" s="89">
        <v>0</v>
      </c>
      <c r="EA9" s="89">
        <v>1765</v>
      </c>
      <c r="EB9" s="89">
        <v>1425</v>
      </c>
      <c r="EC9" s="112">
        <v>2009</v>
      </c>
      <c r="ED9" s="112">
        <v>2009</v>
      </c>
      <c r="EE9" s="112">
        <v>2477</v>
      </c>
      <c r="EF9" s="112">
        <v>2477</v>
      </c>
      <c r="EG9" s="492">
        <v>605</v>
      </c>
      <c r="EH9" s="492">
        <v>1756</v>
      </c>
      <c r="EI9" s="492">
        <v>77719</v>
      </c>
      <c r="EJ9" s="492">
        <v>4465</v>
      </c>
      <c r="EK9" s="492">
        <v>5225</v>
      </c>
      <c r="EL9" s="492">
        <v>17191</v>
      </c>
      <c r="EM9" s="492">
        <v>1957</v>
      </c>
      <c r="EN9" s="492">
        <v>4101</v>
      </c>
    </row>
    <row r="10" spans="1:144" ht="22.5" customHeight="1">
      <c r="A10" s="756"/>
      <c r="B10" s="751" t="s">
        <v>505</v>
      </c>
      <c r="C10" s="751"/>
      <c r="D10" s="89">
        <v>3461</v>
      </c>
      <c r="E10" s="89">
        <v>300</v>
      </c>
      <c r="F10" s="89">
        <v>2446</v>
      </c>
      <c r="G10" s="89">
        <v>1223</v>
      </c>
      <c r="H10" s="89">
        <v>1223</v>
      </c>
      <c r="I10" s="89">
        <v>26327</v>
      </c>
      <c r="J10" s="89">
        <v>117138</v>
      </c>
      <c r="K10" s="89">
        <v>17662</v>
      </c>
      <c r="L10" s="89">
        <v>1579</v>
      </c>
      <c r="M10" s="89">
        <v>101898</v>
      </c>
      <c r="N10" s="89">
        <v>26327</v>
      </c>
      <c r="O10" s="89">
        <v>23379</v>
      </c>
      <c r="P10" s="89">
        <v>93236</v>
      </c>
      <c r="Q10" s="89">
        <v>34562</v>
      </c>
      <c r="R10" s="89">
        <v>59232</v>
      </c>
      <c r="S10" s="89">
        <v>88699</v>
      </c>
      <c r="T10" s="89">
        <v>45817</v>
      </c>
      <c r="U10" s="89">
        <v>94146</v>
      </c>
      <c r="V10" s="89">
        <v>1579</v>
      </c>
      <c r="W10" s="89">
        <v>17662</v>
      </c>
      <c r="X10" s="89">
        <v>154416</v>
      </c>
      <c r="Y10" s="89">
        <v>86253</v>
      </c>
      <c r="Z10" s="89">
        <v>173586</v>
      </c>
      <c r="AA10" s="89">
        <v>15646</v>
      </c>
      <c r="AB10" s="89">
        <v>9171</v>
      </c>
      <c r="AC10" s="89">
        <v>293992</v>
      </c>
      <c r="AD10" s="89">
        <v>118277</v>
      </c>
      <c r="AE10" s="89">
        <v>101898</v>
      </c>
      <c r="AF10" s="89">
        <v>8879</v>
      </c>
      <c r="AG10" s="89">
        <v>9319</v>
      </c>
      <c r="AH10" s="89">
        <v>292173</v>
      </c>
      <c r="AI10" s="89">
        <v>117064</v>
      </c>
      <c r="AJ10" s="89">
        <v>84762</v>
      </c>
      <c r="AK10" s="89">
        <v>91918</v>
      </c>
      <c r="AL10" s="89">
        <v>144831</v>
      </c>
      <c r="AM10" s="89">
        <v>1050</v>
      </c>
      <c r="AN10" s="102">
        <v>1136</v>
      </c>
      <c r="AO10" s="89">
        <v>19968</v>
      </c>
      <c r="AP10" s="89">
        <v>25988</v>
      </c>
      <c r="AQ10" s="89">
        <v>15593</v>
      </c>
      <c r="AR10" s="89">
        <v>0</v>
      </c>
      <c r="AS10" s="89">
        <v>11550</v>
      </c>
      <c r="AT10" s="89">
        <v>19583</v>
      </c>
      <c r="AU10" s="89">
        <v>15782</v>
      </c>
      <c r="AV10" s="89">
        <v>16433</v>
      </c>
      <c r="AW10" s="89">
        <v>40031</v>
      </c>
      <c r="AX10" s="89">
        <v>28270</v>
      </c>
      <c r="AY10" s="89">
        <v>315000</v>
      </c>
      <c r="AZ10" s="89">
        <v>131024</v>
      </c>
      <c r="BA10" s="89">
        <v>107573</v>
      </c>
      <c r="BB10" s="89">
        <v>0</v>
      </c>
      <c r="BC10" s="89">
        <v>47408</v>
      </c>
      <c r="BD10" s="89">
        <v>111222</v>
      </c>
      <c r="BE10" s="89">
        <v>66378</v>
      </c>
      <c r="BF10" s="89">
        <v>67032</v>
      </c>
      <c r="BG10" s="89">
        <v>86324</v>
      </c>
      <c r="BH10" s="89">
        <v>80489</v>
      </c>
      <c r="BI10" s="89">
        <v>222940</v>
      </c>
      <c r="BJ10" s="89">
        <v>361106</v>
      </c>
      <c r="BK10" s="89">
        <v>4819</v>
      </c>
      <c r="BL10" s="89">
        <v>49124</v>
      </c>
      <c r="BM10" s="89">
        <v>59518</v>
      </c>
      <c r="BN10" s="89">
        <v>49806</v>
      </c>
      <c r="BO10" s="89">
        <v>191619</v>
      </c>
      <c r="BP10" s="89">
        <v>13209</v>
      </c>
      <c r="BQ10" s="89">
        <v>700</v>
      </c>
      <c r="BR10" s="89">
        <v>1727656</v>
      </c>
      <c r="BS10" s="89">
        <v>1249801</v>
      </c>
      <c r="BT10" s="89">
        <v>461489</v>
      </c>
      <c r="BU10" s="89">
        <v>1480</v>
      </c>
      <c r="BV10" s="89">
        <v>1711</v>
      </c>
      <c r="BW10" s="89">
        <v>661</v>
      </c>
      <c r="BX10" s="89">
        <v>0</v>
      </c>
      <c r="BY10" s="89">
        <v>135408</v>
      </c>
      <c r="BZ10" s="89">
        <v>117138</v>
      </c>
      <c r="CA10" s="89">
        <v>237843</v>
      </c>
      <c r="CB10" s="89">
        <v>772</v>
      </c>
      <c r="CC10" s="89">
        <v>11592</v>
      </c>
      <c r="CD10" s="89">
        <v>1638</v>
      </c>
      <c r="CE10" s="89">
        <v>15582</v>
      </c>
      <c r="CF10" s="89">
        <v>30223</v>
      </c>
      <c r="CG10" s="89">
        <v>7624</v>
      </c>
      <c r="CH10" s="89">
        <v>80128</v>
      </c>
      <c r="CI10" s="89">
        <v>37682</v>
      </c>
      <c r="CJ10" s="89">
        <v>196976</v>
      </c>
      <c r="CK10" s="89">
        <v>115066</v>
      </c>
      <c r="CL10" s="89">
        <v>40952</v>
      </c>
      <c r="CM10" s="89">
        <v>39481</v>
      </c>
      <c r="CN10" s="89">
        <v>97734</v>
      </c>
      <c r="CO10" s="108">
        <v>3461</v>
      </c>
      <c r="CP10" s="108">
        <v>6799</v>
      </c>
      <c r="CQ10" s="108">
        <v>122</v>
      </c>
      <c r="CR10" s="112">
        <v>0</v>
      </c>
      <c r="CS10" s="89">
        <v>2310</v>
      </c>
      <c r="CT10" s="89">
        <v>3465</v>
      </c>
      <c r="CU10" s="89">
        <v>2310</v>
      </c>
      <c r="CV10" s="89">
        <v>956</v>
      </c>
      <c r="CW10" s="89">
        <v>718</v>
      </c>
      <c r="CX10" s="89">
        <v>2061</v>
      </c>
      <c r="CY10" s="89">
        <v>2061</v>
      </c>
      <c r="CZ10" s="89">
        <v>447</v>
      </c>
      <c r="DA10" s="89">
        <v>447</v>
      </c>
      <c r="DB10" s="89">
        <v>111</v>
      </c>
      <c r="DC10" s="89">
        <v>1050</v>
      </c>
      <c r="DD10" s="89">
        <v>1050</v>
      </c>
      <c r="DE10" s="89">
        <v>1050</v>
      </c>
      <c r="DF10" s="89">
        <v>0</v>
      </c>
      <c r="DG10" s="89">
        <v>0</v>
      </c>
      <c r="DH10" s="108">
        <v>2446</v>
      </c>
      <c r="DI10" s="108">
        <v>2446</v>
      </c>
      <c r="DJ10" s="108">
        <v>2446</v>
      </c>
      <c r="DK10" s="311">
        <v>4200</v>
      </c>
      <c r="DL10" s="112">
        <v>29809</v>
      </c>
      <c r="DM10" s="89">
        <v>613</v>
      </c>
      <c r="DN10" s="89">
        <v>34650</v>
      </c>
      <c r="DO10" s="89">
        <v>0</v>
      </c>
      <c r="DP10" s="89">
        <v>2252</v>
      </c>
      <c r="DQ10" s="89">
        <v>8572</v>
      </c>
      <c r="DR10" s="89">
        <v>9138</v>
      </c>
      <c r="DS10" s="89">
        <v>613</v>
      </c>
      <c r="DT10" s="89">
        <v>34650</v>
      </c>
      <c r="DU10" s="89">
        <v>0</v>
      </c>
      <c r="DV10" s="89">
        <v>2252</v>
      </c>
      <c r="DW10" s="89">
        <v>8572</v>
      </c>
      <c r="DX10" s="89">
        <v>9138</v>
      </c>
      <c r="DY10" s="89">
        <v>3465</v>
      </c>
      <c r="DZ10" s="89">
        <v>0</v>
      </c>
      <c r="EA10" s="89">
        <v>3465</v>
      </c>
      <c r="EB10" s="89">
        <v>0</v>
      </c>
      <c r="EC10" s="112">
        <v>13703</v>
      </c>
      <c r="ED10" s="112">
        <v>13703</v>
      </c>
      <c r="EE10" s="112">
        <v>18323</v>
      </c>
      <c r="EF10" s="112">
        <v>18323</v>
      </c>
      <c r="EG10" s="492">
        <v>4387</v>
      </c>
      <c r="EH10" s="492">
        <v>57055</v>
      </c>
      <c r="EI10" s="492">
        <v>121132</v>
      </c>
      <c r="EJ10" s="492">
        <v>7944</v>
      </c>
      <c r="EK10" s="492">
        <v>135756</v>
      </c>
      <c r="EL10" s="492">
        <v>220415</v>
      </c>
      <c r="EM10" s="492"/>
      <c r="EN10" s="492">
        <v>21757</v>
      </c>
    </row>
    <row r="11" spans="1:144" ht="22.5" customHeight="1">
      <c r="A11" s="756"/>
      <c r="B11" s="751" t="s">
        <v>506</v>
      </c>
      <c r="C11" s="751"/>
      <c r="D11" s="89">
        <v>1500</v>
      </c>
      <c r="E11" s="101">
        <v>1500</v>
      </c>
      <c r="F11" s="101">
        <v>4030</v>
      </c>
      <c r="G11" s="101">
        <v>4030</v>
      </c>
      <c r="H11" s="101">
        <v>4030</v>
      </c>
      <c r="I11" s="101">
        <v>1500</v>
      </c>
      <c r="J11" s="101">
        <v>1500</v>
      </c>
      <c r="K11" s="101">
        <v>3000</v>
      </c>
      <c r="L11" s="101">
        <v>2160</v>
      </c>
      <c r="M11" s="101">
        <v>0</v>
      </c>
      <c r="N11" s="101"/>
      <c r="O11" s="101"/>
      <c r="P11" s="89">
        <v>0</v>
      </c>
      <c r="Q11" s="89">
        <v>0</v>
      </c>
      <c r="R11" s="89">
        <v>750</v>
      </c>
      <c r="S11" s="89">
        <v>0</v>
      </c>
      <c r="T11" s="89">
        <v>0</v>
      </c>
      <c r="U11" s="89">
        <v>1500</v>
      </c>
      <c r="V11" s="89">
        <v>2160</v>
      </c>
      <c r="W11" s="89">
        <v>3000</v>
      </c>
      <c r="X11" s="89">
        <v>4900</v>
      </c>
      <c r="Y11" s="89">
        <v>1500</v>
      </c>
      <c r="Z11" s="89">
        <v>2450</v>
      </c>
      <c r="AA11" s="89">
        <v>2450</v>
      </c>
      <c r="AB11" s="89">
        <v>0</v>
      </c>
      <c r="AC11" s="89">
        <v>1500</v>
      </c>
      <c r="AD11" s="89">
        <v>0</v>
      </c>
      <c r="AE11" s="89">
        <v>0</v>
      </c>
      <c r="AF11" s="89">
        <v>0</v>
      </c>
      <c r="AG11" s="89">
        <v>3000</v>
      </c>
      <c r="AH11" s="89">
        <v>0</v>
      </c>
      <c r="AI11" s="89">
        <v>0</v>
      </c>
      <c r="AJ11" s="89">
        <v>0</v>
      </c>
      <c r="AK11" s="89">
        <v>0</v>
      </c>
      <c r="AL11" s="89">
        <v>1500</v>
      </c>
      <c r="AM11" s="89">
        <v>1500</v>
      </c>
      <c r="AN11" s="102">
        <v>1600</v>
      </c>
      <c r="AO11" s="89">
        <v>1500</v>
      </c>
      <c r="AP11" s="89">
        <v>1500</v>
      </c>
      <c r="AQ11" s="89">
        <v>0</v>
      </c>
      <c r="AR11" s="89">
        <v>0</v>
      </c>
      <c r="AS11" s="89">
        <v>3000</v>
      </c>
      <c r="AT11" s="89">
        <v>1440</v>
      </c>
      <c r="AU11" s="89">
        <v>4900</v>
      </c>
      <c r="AV11" s="89">
        <v>0</v>
      </c>
      <c r="AW11" s="89">
        <v>0</v>
      </c>
      <c r="AX11" s="89">
        <v>1682</v>
      </c>
      <c r="AY11" s="89">
        <v>0</v>
      </c>
      <c r="AZ11" s="89">
        <v>8888</v>
      </c>
      <c r="BA11" s="89">
        <v>0</v>
      </c>
      <c r="BB11" s="89">
        <v>0</v>
      </c>
      <c r="BC11" s="89">
        <v>23100</v>
      </c>
      <c r="BD11" s="89">
        <v>0</v>
      </c>
      <c r="BE11" s="89">
        <v>4500</v>
      </c>
      <c r="BF11" s="89">
        <v>4500</v>
      </c>
      <c r="BG11" s="89">
        <v>0</v>
      </c>
      <c r="BH11" s="89">
        <v>3000</v>
      </c>
      <c r="BI11" s="89">
        <v>0</v>
      </c>
      <c r="BJ11" s="89">
        <v>10740</v>
      </c>
      <c r="BK11" s="89">
        <v>15000</v>
      </c>
      <c r="BL11" s="89">
        <v>0</v>
      </c>
      <c r="BM11" s="89">
        <v>4900</v>
      </c>
      <c r="BN11" s="89">
        <v>3000</v>
      </c>
      <c r="BO11" s="89">
        <v>0</v>
      </c>
      <c r="BP11" s="89">
        <v>0</v>
      </c>
      <c r="BQ11" s="89">
        <v>7000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1500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1500</v>
      </c>
      <c r="CO11" s="108">
        <v>1500</v>
      </c>
      <c r="CP11" s="108">
        <v>0</v>
      </c>
      <c r="CQ11" s="108">
        <v>1500</v>
      </c>
      <c r="CR11" s="112">
        <v>1500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3000</v>
      </c>
      <c r="DD11" s="89">
        <v>3000</v>
      </c>
      <c r="DE11" s="89">
        <v>1500</v>
      </c>
      <c r="DF11" s="89">
        <v>4900</v>
      </c>
      <c r="DG11" s="89">
        <v>4900</v>
      </c>
      <c r="DH11" s="108">
        <v>4030</v>
      </c>
      <c r="DI11" s="108">
        <v>4030</v>
      </c>
      <c r="DJ11" s="108">
        <v>4030</v>
      </c>
      <c r="DK11" s="311">
        <v>5000</v>
      </c>
      <c r="DL11" s="112">
        <v>10000</v>
      </c>
      <c r="DM11" s="89">
        <v>0</v>
      </c>
      <c r="DN11" s="89">
        <v>0</v>
      </c>
      <c r="DO11" s="89">
        <v>1500</v>
      </c>
      <c r="DP11" s="89">
        <v>0</v>
      </c>
      <c r="DQ11" s="89">
        <v>4900</v>
      </c>
      <c r="DR11" s="89">
        <v>4900</v>
      </c>
      <c r="DS11" s="89">
        <v>0</v>
      </c>
      <c r="DT11" s="89">
        <v>0</v>
      </c>
      <c r="DU11" s="89">
        <v>1500</v>
      </c>
      <c r="DV11" s="89">
        <v>0</v>
      </c>
      <c r="DW11" s="89">
        <v>4900</v>
      </c>
      <c r="DX11" s="89">
        <v>4900</v>
      </c>
      <c r="DY11" s="89">
        <v>0</v>
      </c>
      <c r="DZ11" s="89">
        <v>0</v>
      </c>
      <c r="EA11" s="89">
        <v>0</v>
      </c>
      <c r="EB11" s="89">
        <v>0</v>
      </c>
      <c r="EC11" s="112">
        <v>0</v>
      </c>
      <c r="ED11" s="112">
        <v>0</v>
      </c>
      <c r="EE11" s="112">
        <v>0</v>
      </c>
      <c r="EF11" s="112">
        <v>0</v>
      </c>
      <c r="EG11" s="492">
        <v>3000</v>
      </c>
      <c r="EH11" s="492">
        <v>1250</v>
      </c>
      <c r="EI11" s="492">
        <v>3000</v>
      </c>
      <c r="EJ11" s="492">
        <v>1500</v>
      </c>
      <c r="EK11" s="492">
        <v>21000</v>
      </c>
      <c r="EL11" s="492"/>
      <c r="EM11" s="492">
        <v>3000</v>
      </c>
      <c r="EN11" s="492">
        <v>20925</v>
      </c>
    </row>
    <row r="12" spans="1:144" ht="22.5" customHeight="1">
      <c r="A12" s="756"/>
      <c r="B12" s="751" t="s">
        <v>507</v>
      </c>
      <c r="C12" s="751"/>
      <c r="D12" s="89">
        <v>32550</v>
      </c>
      <c r="E12" s="89">
        <v>17022</v>
      </c>
      <c r="F12" s="89">
        <v>749</v>
      </c>
      <c r="G12" s="89">
        <v>374</v>
      </c>
      <c r="H12" s="89">
        <v>374</v>
      </c>
      <c r="I12" s="89">
        <v>4041</v>
      </c>
      <c r="J12" s="89">
        <v>105000</v>
      </c>
      <c r="K12" s="89">
        <v>0</v>
      </c>
      <c r="L12" s="89">
        <v>20000</v>
      </c>
      <c r="M12" s="89">
        <v>0</v>
      </c>
      <c r="N12" s="89">
        <v>4041</v>
      </c>
      <c r="O12" s="89"/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20000</v>
      </c>
      <c r="W12" s="89">
        <v>0</v>
      </c>
      <c r="X12" s="89">
        <v>0</v>
      </c>
      <c r="Y12" s="89">
        <v>5000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6000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6500</v>
      </c>
      <c r="AN12" s="102"/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6000</v>
      </c>
      <c r="AU12" s="89">
        <v>6000</v>
      </c>
      <c r="AV12" s="89">
        <v>5000</v>
      </c>
      <c r="AW12" s="89">
        <v>3425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21000</v>
      </c>
      <c r="BH12" s="89">
        <v>21000</v>
      </c>
      <c r="BI12" s="89">
        <v>0</v>
      </c>
      <c r="BJ12" s="89">
        <v>0</v>
      </c>
      <c r="BK12" s="89">
        <v>0</v>
      </c>
      <c r="BL12" s="89">
        <v>9000</v>
      </c>
      <c r="BM12" s="89">
        <v>0</v>
      </c>
      <c r="BN12" s="89">
        <v>0</v>
      </c>
      <c r="BO12" s="89">
        <v>10500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105000</v>
      </c>
      <c r="CA12" s="89">
        <v>0</v>
      </c>
      <c r="CB12" s="89">
        <v>0</v>
      </c>
      <c r="CC12" s="89">
        <v>12000</v>
      </c>
      <c r="CD12" s="89">
        <v>0</v>
      </c>
      <c r="CE12" s="89">
        <v>0</v>
      </c>
      <c r="CF12" s="89">
        <v>0</v>
      </c>
      <c r="CG12" s="89">
        <v>0</v>
      </c>
      <c r="CH12" s="89">
        <v>7071</v>
      </c>
      <c r="CI12" s="89">
        <v>7000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108">
        <v>12650</v>
      </c>
      <c r="CP12" s="108">
        <v>38300</v>
      </c>
      <c r="CQ12" s="108">
        <v>27000</v>
      </c>
      <c r="CR12" s="112">
        <v>21300</v>
      </c>
      <c r="CS12" s="89">
        <v>22500</v>
      </c>
      <c r="CT12" s="89">
        <v>22500</v>
      </c>
      <c r="CU12" s="89">
        <v>7500</v>
      </c>
      <c r="CV12" s="89">
        <v>72720</v>
      </c>
      <c r="CW12" s="89">
        <v>42800</v>
      </c>
      <c r="CX12" s="89">
        <v>77425</v>
      </c>
      <c r="CY12" s="89">
        <v>31700</v>
      </c>
      <c r="CZ12" s="89">
        <v>12633</v>
      </c>
      <c r="DA12" s="89">
        <v>20133</v>
      </c>
      <c r="DB12" s="89">
        <v>15550</v>
      </c>
      <c r="DC12" s="89">
        <v>46000</v>
      </c>
      <c r="DD12" s="89">
        <v>58000</v>
      </c>
      <c r="DE12" s="89">
        <v>38500</v>
      </c>
      <c r="DF12" s="89">
        <v>30200</v>
      </c>
      <c r="DG12" s="89">
        <v>33200</v>
      </c>
      <c r="DH12" s="108">
        <v>749</v>
      </c>
      <c r="DI12" s="108">
        <v>749</v>
      </c>
      <c r="DJ12" s="108">
        <v>749</v>
      </c>
      <c r="DK12" s="311"/>
      <c r="DL12" s="112">
        <v>12000</v>
      </c>
      <c r="DM12" s="89">
        <v>0</v>
      </c>
      <c r="DN12" s="89">
        <v>6000</v>
      </c>
      <c r="DO12" s="89">
        <v>4000</v>
      </c>
      <c r="DP12" s="89">
        <v>500</v>
      </c>
      <c r="DQ12" s="89">
        <v>3530</v>
      </c>
      <c r="DR12" s="89">
        <v>0</v>
      </c>
      <c r="DS12" s="89">
        <v>0</v>
      </c>
      <c r="DT12" s="89">
        <v>6000</v>
      </c>
      <c r="DU12" s="89">
        <v>4000</v>
      </c>
      <c r="DV12" s="89">
        <v>500</v>
      </c>
      <c r="DW12" s="89">
        <v>3530</v>
      </c>
      <c r="DX12" s="89">
        <v>0</v>
      </c>
      <c r="DY12" s="89">
        <v>37800</v>
      </c>
      <c r="DZ12" s="89">
        <v>31500</v>
      </c>
      <c r="EA12" s="89">
        <v>0</v>
      </c>
      <c r="EB12" s="89">
        <v>0</v>
      </c>
      <c r="EC12" s="112">
        <v>9000</v>
      </c>
      <c r="ED12" s="112">
        <v>9000</v>
      </c>
      <c r="EE12" s="112">
        <v>9000</v>
      </c>
      <c r="EF12" s="112">
        <v>9000</v>
      </c>
      <c r="EG12" s="492"/>
      <c r="EH12" s="492"/>
      <c r="EI12" s="492"/>
      <c r="EJ12" s="492">
        <v>6000</v>
      </c>
      <c r="EK12" s="492"/>
      <c r="EL12" s="492"/>
      <c r="EM12" s="492"/>
      <c r="EN12" s="492"/>
    </row>
    <row r="13" spans="1:144" ht="22.5" customHeight="1">
      <c r="A13" s="756"/>
      <c r="B13" s="752" t="s">
        <v>508</v>
      </c>
      <c r="C13" s="88" t="s">
        <v>509</v>
      </c>
      <c r="D13" s="89">
        <v>2488</v>
      </c>
      <c r="E13" s="101">
        <v>0</v>
      </c>
      <c r="F13" s="101">
        <v>1944</v>
      </c>
      <c r="G13" s="101">
        <v>972</v>
      </c>
      <c r="H13" s="101">
        <v>972</v>
      </c>
      <c r="I13" s="101">
        <v>12152</v>
      </c>
      <c r="J13" s="101">
        <v>150000</v>
      </c>
      <c r="K13" s="101">
        <v>0</v>
      </c>
      <c r="L13" s="101">
        <v>0</v>
      </c>
      <c r="M13" s="101">
        <v>135000</v>
      </c>
      <c r="N13" s="101">
        <v>12152</v>
      </c>
      <c r="O13" s="101">
        <v>1221</v>
      </c>
      <c r="P13" s="89">
        <v>281250</v>
      </c>
      <c r="Q13" s="89">
        <v>190080</v>
      </c>
      <c r="R13" s="89">
        <v>84974</v>
      </c>
      <c r="S13" s="89">
        <v>112500</v>
      </c>
      <c r="T13" s="89">
        <v>0</v>
      </c>
      <c r="U13" s="89">
        <v>174022</v>
      </c>
      <c r="V13" s="89">
        <v>0</v>
      </c>
      <c r="W13" s="89">
        <v>0</v>
      </c>
      <c r="X13" s="89">
        <v>151875</v>
      </c>
      <c r="Y13" s="89">
        <v>84375</v>
      </c>
      <c r="Z13" s="89">
        <v>84375</v>
      </c>
      <c r="AA13" s="89">
        <v>84375</v>
      </c>
      <c r="AB13" s="89">
        <v>0</v>
      </c>
      <c r="AC13" s="89">
        <v>179931</v>
      </c>
      <c r="AD13" s="89">
        <v>327600</v>
      </c>
      <c r="AE13" s="89">
        <v>135000</v>
      </c>
      <c r="AF13" s="89">
        <v>9771</v>
      </c>
      <c r="AG13" s="89">
        <v>3494</v>
      </c>
      <c r="AH13" s="89">
        <v>122580</v>
      </c>
      <c r="AI13" s="89">
        <v>89241</v>
      </c>
      <c r="AJ13" s="89">
        <v>0</v>
      </c>
      <c r="AK13" s="89">
        <v>168750</v>
      </c>
      <c r="AL13" s="89">
        <v>93863</v>
      </c>
      <c r="AM13" s="89">
        <v>0</v>
      </c>
      <c r="AN13" s="102"/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1500</v>
      </c>
      <c r="AW13" s="89">
        <v>4074</v>
      </c>
      <c r="AX13" s="89">
        <v>143750</v>
      </c>
      <c r="AY13" s="89">
        <v>324072</v>
      </c>
      <c r="AZ13" s="89">
        <v>164079</v>
      </c>
      <c r="BA13" s="89">
        <v>594780</v>
      </c>
      <c r="BB13" s="89">
        <v>43875</v>
      </c>
      <c r="BC13" s="89">
        <v>247500</v>
      </c>
      <c r="BD13" s="89">
        <v>238500</v>
      </c>
      <c r="BE13" s="89">
        <v>82886</v>
      </c>
      <c r="BF13" s="89">
        <v>88002</v>
      </c>
      <c r="BG13" s="89">
        <v>101516</v>
      </c>
      <c r="BH13" s="89">
        <v>101561</v>
      </c>
      <c r="BI13" s="89">
        <v>765000</v>
      </c>
      <c r="BJ13" s="89">
        <v>812743</v>
      </c>
      <c r="BK13" s="89">
        <v>168750</v>
      </c>
      <c r="BL13" s="89">
        <v>11745</v>
      </c>
      <c r="BM13" s="89">
        <v>153000</v>
      </c>
      <c r="BN13" s="89">
        <v>209250</v>
      </c>
      <c r="BO13" s="89">
        <v>3375</v>
      </c>
      <c r="BP13" s="89">
        <v>102079</v>
      </c>
      <c r="BQ13" s="89">
        <v>377500</v>
      </c>
      <c r="BR13" s="89">
        <v>209250</v>
      </c>
      <c r="BS13" s="89">
        <v>207000</v>
      </c>
      <c r="BT13" s="89">
        <v>271631</v>
      </c>
      <c r="BU13" s="89">
        <v>0</v>
      </c>
      <c r="BV13" s="89">
        <v>0</v>
      </c>
      <c r="BW13" s="89">
        <v>0</v>
      </c>
      <c r="BX13" s="89">
        <v>94500</v>
      </c>
      <c r="BY13" s="89">
        <v>277260</v>
      </c>
      <c r="BZ13" s="89">
        <v>150000</v>
      </c>
      <c r="CA13" s="89">
        <v>384488</v>
      </c>
      <c r="CB13" s="89">
        <v>0</v>
      </c>
      <c r="CC13" s="89">
        <v>4800</v>
      </c>
      <c r="CD13" s="89">
        <v>0</v>
      </c>
      <c r="CE13" s="89">
        <v>0</v>
      </c>
      <c r="CF13" s="89">
        <v>130500</v>
      </c>
      <c r="CG13" s="89">
        <v>168750</v>
      </c>
      <c r="CH13" s="89">
        <v>143804</v>
      </c>
      <c r="CI13" s="89">
        <v>77986</v>
      </c>
      <c r="CJ13" s="89">
        <v>219173</v>
      </c>
      <c r="CK13" s="89">
        <v>135000</v>
      </c>
      <c r="CL13" s="89">
        <v>55335</v>
      </c>
      <c r="CM13" s="89">
        <v>168750</v>
      </c>
      <c r="CN13" s="89">
        <v>207000</v>
      </c>
      <c r="CO13" s="108">
        <v>2488</v>
      </c>
      <c r="CP13" s="108">
        <v>3267</v>
      </c>
      <c r="CQ13" s="108">
        <v>1709</v>
      </c>
      <c r="CR13" s="112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5172</v>
      </c>
      <c r="CY13" s="89">
        <v>2230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116">
        <v>972</v>
      </c>
      <c r="DI13" s="116">
        <v>972</v>
      </c>
      <c r="DJ13" s="116">
        <v>1944</v>
      </c>
      <c r="DK13" s="311">
        <v>4398</v>
      </c>
      <c r="DL13" s="112">
        <v>9777</v>
      </c>
      <c r="DM13" s="89">
        <v>0</v>
      </c>
      <c r="DN13" s="89">
        <v>86538</v>
      </c>
      <c r="DO13" s="89">
        <v>0</v>
      </c>
      <c r="DP13" s="89">
        <v>1440</v>
      </c>
      <c r="DQ13" s="89">
        <v>27666</v>
      </c>
      <c r="DR13" s="89">
        <v>3530</v>
      </c>
      <c r="DS13" s="89">
        <v>0</v>
      </c>
      <c r="DT13" s="89">
        <v>86538</v>
      </c>
      <c r="DU13" s="89">
        <v>0</v>
      </c>
      <c r="DV13" s="89">
        <v>1440</v>
      </c>
      <c r="DW13" s="89">
        <v>27666</v>
      </c>
      <c r="DX13" s="89">
        <v>3530</v>
      </c>
      <c r="DY13" s="89">
        <v>0</v>
      </c>
      <c r="DZ13" s="89">
        <v>0</v>
      </c>
      <c r="EA13" s="89">
        <v>960</v>
      </c>
      <c r="EB13" s="89">
        <v>960</v>
      </c>
      <c r="EC13" s="112">
        <v>0</v>
      </c>
      <c r="ED13" s="112">
        <v>0</v>
      </c>
      <c r="EE13" s="112">
        <v>0</v>
      </c>
      <c r="EF13" s="112">
        <v>0</v>
      </c>
      <c r="EG13" s="492">
        <v>350000</v>
      </c>
      <c r="EH13" s="492"/>
      <c r="EI13" s="492">
        <v>150539</v>
      </c>
      <c r="EJ13" s="492"/>
      <c r="EK13" s="492">
        <v>453333</v>
      </c>
      <c r="EL13" s="492">
        <v>576555</v>
      </c>
      <c r="EM13" s="492">
        <v>123150</v>
      </c>
      <c r="EN13" s="492"/>
    </row>
    <row r="14" spans="1:144" ht="22.5" customHeight="1">
      <c r="A14" s="756"/>
      <c r="B14" s="752"/>
      <c r="C14" s="88" t="s">
        <v>510</v>
      </c>
      <c r="D14" s="89">
        <v>14769</v>
      </c>
      <c r="E14" s="89">
        <v>12975</v>
      </c>
      <c r="F14" s="89">
        <v>17487</v>
      </c>
      <c r="G14" s="89">
        <v>8743</v>
      </c>
      <c r="H14" s="89">
        <v>8743</v>
      </c>
      <c r="I14" s="89">
        <v>5949</v>
      </c>
      <c r="J14" s="89">
        <v>17565</v>
      </c>
      <c r="K14" s="89">
        <v>42706</v>
      </c>
      <c r="L14" s="89">
        <v>10584</v>
      </c>
      <c r="M14" s="89">
        <v>64200</v>
      </c>
      <c r="N14" s="89">
        <v>5949</v>
      </c>
      <c r="O14" s="89">
        <v>22123</v>
      </c>
      <c r="P14" s="89">
        <v>104940</v>
      </c>
      <c r="Q14" s="89">
        <v>66713</v>
      </c>
      <c r="R14" s="89">
        <v>28688</v>
      </c>
      <c r="S14" s="89">
        <v>29297</v>
      </c>
      <c r="T14" s="89">
        <v>143906</v>
      </c>
      <c r="U14" s="89">
        <v>22219</v>
      </c>
      <c r="V14" s="89">
        <v>10584</v>
      </c>
      <c r="W14" s="89">
        <v>42706</v>
      </c>
      <c r="X14" s="89">
        <v>201938</v>
      </c>
      <c r="Y14" s="89">
        <v>13058</v>
      </c>
      <c r="Z14" s="89">
        <v>14318</v>
      </c>
      <c r="AA14" s="89">
        <v>14318</v>
      </c>
      <c r="AB14" s="89">
        <v>48685</v>
      </c>
      <c r="AC14" s="89">
        <v>36719</v>
      </c>
      <c r="AD14" s="89">
        <v>38160</v>
      </c>
      <c r="AE14" s="89">
        <v>64200</v>
      </c>
      <c r="AF14" s="89">
        <v>7538</v>
      </c>
      <c r="AG14" s="89">
        <v>37650</v>
      </c>
      <c r="AH14" s="89">
        <v>66713</v>
      </c>
      <c r="AI14" s="89">
        <v>40253</v>
      </c>
      <c r="AJ14" s="89">
        <v>76395</v>
      </c>
      <c r="AK14" s="89">
        <v>62606</v>
      </c>
      <c r="AL14" s="89">
        <v>12210</v>
      </c>
      <c r="AM14" s="89">
        <v>10613</v>
      </c>
      <c r="AN14" s="102">
        <v>13377</v>
      </c>
      <c r="AO14" s="89">
        <v>31190</v>
      </c>
      <c r="AP14" s="89">
        <v>12240</v>
      </c>
      <c r="AQ14" s="89">
        <v>26184</v>
      </c>
      <c r="AR14" s="89">
        <v>44606</v>
      </c>
      <c r="AS14" s="89">
        <v>13095</v>
      </c>
      <c r="AT14" s="89">
        <v>21383</v>
      </c>
      <c r="AU14" s="89">
        <v>21383</v>
      </c>
      <c r="AV14" s="89">
        <v>15563</v>
      </c>
      <c r="AW14" s="89">
        <v>20435</v>
      </c>
      <c r="AX14" s="89">
        <v>17578</v>
      </c>
      <c r="AY14" s="89">
        <v>34650</v>
      </c>
      <c r="AZ14" s="89">
        <v>39825</v>
      </c>
      <c r="BA14" s="89">
        <v>309731</v>
      </c>
      <c r="BB14" s="89">
        <v>0</v>
      </c>
      <c r="BC14" s="89">
        <v>59006</v>
      </c>
      <c r="BD14" s="89">
        <v>149625</v>
      </c>
      <c r="BE14" s="89">
        <v>81658</v>
      </c>
      <c r="BF14" s="89">
        <v>108878</v>
      </c>
      <c r="BG14" s="89">
        <v>97628</v>
      </c>
      <c r="BH14" s="89">
        <v>111128</v>
      </c>
      <c r="BI14" s="89">
        <v>130500</v>
      </c>
      <c r="BJ14" s="89">
        <v>183453</v>
      </c>
      <c r="BK14" s="89">
        <v>22500</v>
      </c>
      <c r="BL14" s="89">
        <v>25380</v>
      </c>
      <c r="BM14" s="89">
        <v>32625</v>
      </c>
      <c r="BN14" s="89">
        <v>18765</v>
      </c>
      <c r="BO14" s="89">
        <v>7020</v>
      </c>
      <c r="BP14" s="89">
        <v>41550</v>
      </c>
      <c r="BQ14" s="89">
        <v>24638</v>
      </c>
      <c r="BR14" s="89">
        <v>109350</v>
      </c>
      <c r="BS14" s="89">
        <v>43875</v>
      </c>
      <c r="BT14" s="89">
        <v>30471</v>
      </c>
      <c r="BU14" s="89">
        <v>14310</v>
      </c>
      <c r="BV14" s="89">
        <v>14310</v>
      </c>
      <c r="BW14" s="89">
        <v>15782</v>
      </c>
      <c r="BX14" s="89">
        <v>25551</v>
      </c>
      <c r="BY14" s="89">
        <v>118313</v>
      </c>
      <c r="BZ14" s="89">
        <v>17565</v>
      </c>
      <c r="CA14" s="89">
        <v>19744</v>
      </c>
      <c r="CB14" s="89">
        <v>22680</v>
      </c>
      <c r="CC14" s="89">
        <v>4725</v>
      </c>
      <c r="CD14" s="89">
        <v>20140</v>
      </c>
      <c r="CE14" s="89">
        <v>9450</v>
      </c>
      <c r="CF14" s="89">
        <v>4669</v>
      </c>
      <c r="CG14" s="89">
        <v>11655</v>
      </c>
      <c r="CH14" s="89">
        <v>37170</v>
      </c>
      <c r="CI14" s="89">
        <v>45570</v>
      </c>
      <c r="CJ14" s="89">
        <v>72319</v>
      </c>
      <c r="CK14" s="89">
        <v>23625</v>
      </c>
      <c r="CL14" s="89">
        <v>50713</v>
      </c>
      <c r="CM14" s="89">
        <v>25875</v>
      </c>
      <c r="CN14" s="89">
        <v>15525</v>
      </c>
      <c r="CO14" s="108">
        <v>14769</v>
      </c>
      <c r="CP14" s="108">
        <v>17750</v>
      </c>
      <c r="CQ14" s="108">
        <v>11789</v>
      </c>
      <c r="CR14" s="112">
        <v>8430</v>
      </c>
      <c r="CS14" s="89">
        <v>40097</v>
      </c>
      <c r="CT14" s="89">
        <v>80195</v>
      </c>
      <c r="CU14" s="89">
        <v>40097</v>
      </c>
      <c r="CV14" s="89">
        <v>14355</v>
      </c>
      <c r="CW14" s="89">
        <v>19896</v>
      </c>
      <c r="CX14" s="89">
        <v>7759</v>
      </c>
      <c r="CY14" s="89">
        <v>4658</v>
      </c>
      <c r="CZ14" s="89">
        <v>19772</v>
      </c>
      <c r="DA14" s="89">
        <v>43774</v>
      </c>
      <c r="DB14" s="89">
        <v>8851</v>
      </c>
      <c r="DC14" s="89">
        <v>23440</v>
      </c>
      <c r="DD14" s="89">
        <v>19539</v>
      </c>
      <c r="DE14" s="89">
        <v>10535</v>
      </c>
      <c r="DF14" s="89">
        <v>22582</v>
      </c>
      <c r="DG14" s="89">
        <v>92324</v>
      </c>
      <c r="DH14" s="108">
        <v>8743</v>
      </c>
      <c r="DI14" s="108">
        <v>8743</v>
      </c>
      <c r="DJ14" s="108">
        <v>17487</v>
      </c>
      <c r="DK14" s="311">
        <v>74785</v>
      </c>
      <c r="DL14" s="112">
        <v>59184</v>
      </c>
      <c r="DM14" s="89">
        <v>27888</v>
      </c>
      <c r="DN14" s="89">
        <v>57939</v>
      </c>
      <c r="DO14" s="89">
        <v>8438</v>
      </c>
      <c r="DP14" s="89">
        <v>16295</v>
      </c>
      <c r="DQ14" s="89">
        <v>0</v>
      </c>
      <c r="DR14" s="89">
        <v>25866</v>
      </c>
      <c r="DS14" s="89">
        <v>27888</v>
      </c>
      <c r="DT14" s="89">
        <v>57939</v>
      </c>
      <c r="DU14" s="89">
        <v>8438</v>
      </c>
      <c r="DV14" s="89">
        <v>16295</v>
      </c>
      <c r="DW14" s="89">
        <v>0</v>
      </c>
      <c r="DX14" s="89">
        <v>25866</v>
      </c>
      <c r="DY14" s="89">
        <v>2520</v>
      </c>
      <c r="DZ14" s="89">
        <v>2520</v>
      </c>
      <c r="EA14" s="89">
        <v>16385</v>
      </c>
      <c r="EB14" s="89">
        <v>13955</v>
      </c>
      <c r="EC14" s="112">
        <v>10530</v>
      </c>
      <c r="ED14" s="112">
        <v>10530</v>
      </c>
      <c r="EE14" s="112">
        <v>10530</v>
      </c>
      <c r="EF14" s="112">
        <v>10530</v>
      </c>
      <c r="EG14" s="492">
        <v>86994</v>
      </c>
      <c r="EH14" s="492">
        <v>9281</v>
      </c>
      <c r="EI14" s="492">
        <v>138716</v>
      </c>
      <c r="EJ14" s="492">
        <v>4760</v>
      </c>
      <c r="EK14" s="492">
        <v>49194</v>
      </c>
      <c r="EL14" s="492">
        <v>117507</v>
      </c>
      <c r="EM14" s="492">
        <v>17115</v>
      </c>
      <c r="EN14" s="492">
        <v>26750</v>
      </c>
    </row>
    <row r="15" spans="1:144" ht="22.5" customHeight="1">
      <c r="A15" s="756"/>
      <c r="B15" s="752"/>
      <c r="C15" s="88" t="s">
        <v>511</v>
      </c>
      <c r="D15" s="89">
        <v>0</v>
      </c>
      <c r="E15" s="101"/>
      <c r="F15" s="101">
        <v>0</v>
      </c>
      <c r="G15" s="101">
        <v>0</v>
      </c>
      <c r="H15" s="101">
        <v>0</v>
      </c>
      <c r="I15" s="101">
        <v>0</v>
      </c>
      <c r="J15" s="101">
        <v>96138</v>
      </c>
      <c r="K15" s="101">
        <v>0</v>
      </c>
      <c r="L15" s="101">
        <v>0</v>
      </c>
      <c r="M15" s="101">
        <v>0</v>
      </c>
      <c r="N15" s="101">
        <v>0</v>
      </c>
      <c r="O15" s="101"/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102"/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271099</v>
      </c>
      <c r="AY15" s="89">
        <v>0</v>
      </c>
      <c r="AZ15" s="89">
        <v>0</v>
      </c>
      <c r="BA15" s="89">
        <v>0</v>
      </c>
      <c r="BB15" s="89">
        <v>19950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22455</v>
      </c>
      <c r="BJ15" s="89">
        <v>0</v>
      </c>
      <c r="BK15" s="89">
        <v>49875</v>
      </c>
      <c r="BL15" s="89">
        <v>0</v>
      </c>
      <c r="BM15" s="89">
        <v>0</v>
      </c>
      <c r="BN15" s="89">
        <v>28500</v>
      </c>
      <c r="BO15" s="89">
        <v>0</v>
      </c>
      <c r="BP15" s="89">
        <v>29880</v>
      </c>
      <c r="BQ15" s="89">
        <v>0</v>
      </c>
      <c r="BR15" s="89">
        <v>0</v>
      </c>
      <c r="BS15" s="89">
        <v>0</v>
      </c>
      <c r="BT15" s="89">
        <v>0</v>
      </c>
      <c r="BU15" s="89">
        <v>15227</v>
      </c>
      <c r="BV15" s="89">
        <v>15227</v>
      </c>
      <c r="BW15" s="89">
        <v>20577</v>
      </c>
      <c r="BX15" s="89">
        <v>25721</v>
      </c>
      <c r="BY15" s="89">
        <v>97563</v>
      </c>
      <c r="BZ15" s="89">
        <v>96138</v>
      </c>
      <c r="CA15" s="89">
        <v>50710</v>
      </c>
      <c r="CB15" s="89">
        <v>11171</v>
      </c>
      <c r="CC15" s="89">
        <v>0</v>
      </c>
      <c r="CD15" s="89">
        <v>4460</v>
      </c>
      <c r="CE15" s="89">
        <v>87400</v>
      </c>
      <c r="CF15" s="89">
        <v>31026</v>
      </c>
      <c r="CG15" s="89">
        <v>70300</v>
      </c>
      <c r="CH15" s="89">
        <v>0</v>
      </c>
      <c r="CI15" s="89">
        <v>0</v>
      </c>
      <c r="CJ15" s="89">
        <v>0</v>
      </c>
      <c r="CK15" s="89">
        <v>16293</v>
      </c>
      <c r="CL15" s="89">
        <v>52299</v>
      </c>
      <c r="CM15" s="89">
        <v>40058</v>
      </c>
      <c r="CN15" s="89">
        <v>80117</v>
      </c>
      <c r="CO15" s="108"/>
      <c r="CP15" s="108"/>
      <c r="CQ15" s="108"/>
      <c r="CR15" s="112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108">
        <v>0</v>
      </c>
      <c r="DI15" s="108">
        <v>0</v>
      </c>
      <c r="DJ15" s="108">
        <v>0</v>
      </c>
      <c r="DK15" s="311"/>
      <c r="DL15" s="112">
        <v>0</v>
      </c>
      <c r="DM15" s="89">
        <v>0</v>
      </c>
      <c r="DN15" s="89">
        <v>0</v>
      </c>
      <c r="DO15" s="89">
        <v>0</v>
      </c>
      <c r="DP15" s="89">
        <v>0</v>
      </c>
      <c r="DQ15" s="89">
        <v>1000</v>
      </c>
      <c r="DR15" s="89">
        <v>0</v>
      </c>
      <c r="DS15" s="89">
        <v>0</v>
      </c>
      <c r="DT15" s="89">
        <v>0</v>
      </c>
      <c r="DU15" s="89">
        <v>0</v>
      </c>
      <c r="DV15" s="89">
        <v>0</v>
      </c>
      <c r="DW15" s="89">
        <v>1000</v>
      </c>
      <c r="DX15" s="89">
        <v>0</v>
      </c>
      <c r="DY15" s="89">
        <v>0</v>
      </c>
      <c r="DZ15" s="89">
        <v>0</v>
      </c>
      <c r="EA15" s="89">
        <v>0</v>
      </c>
      <c r="EB15" s="89">
        <v>0</v>
      </c>
      <c r="EC15" s="112">
        <v>0</v>
      </c>
      <c r="ED15" s="112">
        <v>0</v>
      </c>
      <c r="EE15" s="112">
        <v>0</v>
      </c>
      <c r="EF15" s="112">
        <v>0</v>
      </c>
      <c r="EG15" s="492">
        <v>9552</v>
      </c>
      <c r="EH15" s="492">
        <v>8165</v>
      </c>
      <c r="EI15" s="492"/>
      <c r="EJ15" s="492"/>
      <c r="EK15" s="492"/>
      <c r="EL15" s="492"/>
      <c r="EM15" s="492">
        <v>41223</v>
      </c>
      <c r="EN15" s="492"/>
    </row>
    <row r="16" spans="1:144" ht="22.5" customHeight="1">
      <c r="A16" s="756"/>
      <c r="B16" s="751" t="s">
        <v>512</v>
      </c>
      <c r="C16" s="751"/>
      <c r="D16" s="89">
        <v>6550</v>
      </c>
      <c r="E16" s="89">
        <v>7420</v>
      </c>
      <c r="F16" s="89">
        <v>5721</v>
      </c>
      <c r="G16" s="89">
        <v>2861</v>
      </c>
      <c r="H16" s="89">
        <v>2861</v>
      </c>
      <c r="I16" s="89">
        <v>4121</v>
      </c>
      <c r="J16" s="89">
        <v>10640</v>
      </c>
      <c r="K16" s="89">
        <v>4000</v>
      </c>
      <c r="L16" s="89">
        <v>2240</v>
      </c>
      <c r="M16" s="89">
        <v>4800</v>
      </c>
      <c r="N16" s="89">
        <v>4121</v>
      </c>
      <c r="O16" s="89">
        <v>7987</v>
      </c>
      <c r="P16" s="89">
        <v>9240</v>
      </c>
      <c r="Q16" s="89">
        <v>15000</v>
      </c>
      <c r="R16" s="89">
        <v>7500</v>
      </c>
      <c r="S16" s="89">
        <v>7500</v>
      </c>
      <c r="T16" s="89">
        <v>12500</v>
      </c>
      <c r="U16" s="89">
        <v>7500</v>
      </c>
      <c r="V16" s="89">
        <v>2240</v>
      </c>
      <c r="W16" s="89">
        <v>4000</v>
      </c>
      <c r="X16" s="89">
        <v>8000</v>
      </c>
      <c r="Y16" s="89">
        <v>2680</v>
      </c>
      <c r="Z16" s="89">
        <v>2905</v>
      </c>
      <c r="AA16" s="89">
        <v>2905</v>
      </c>
      <c r="AB16" s="89">
        <v>4320</v>
      </c>
      <c r="AC16" s="89">
        <v>10720</v>
      </c>
      <c r="AD16" s="89">
        <v>8800</v>
      </c>
      <c r="AE16" s="89">
        <v>4800</v>
      </c>
      <c r="AF16" s="89">
        <v>2000</v>
      </c>
      <c r="AG16" s="89">
        <v>2800</v>
      </c>
      <c r="AH16" s="89">
        <v>30000</v>
      </c>
      <c r="AI16" s="89">
        <v>24000</v>
      </c>
      <c r="AJ16" s="89">
        <v>21000</v>
      </c>
      <c r="AK16" s="89">
        <v>10000</v>
      </c>
      <c r="AL16" s="89">
        <v>4400</v>
      </c>
      <c r="AM16" s="89">
        <v>2000</v>
      </c>
      <c r="AN16" s="102">
        <v>10180</v>
      </c>
      <c r="AO16" s="89">
        <v>5300</v>
      </c>
      <c r="AP16" s="89">
        <v>3000</v>
      </c>
      <c r="AQ16" s="89">
        <v>2100</v>
      </c>
      <c r="AR16" s="89">
        <v>2000</v>
      </c>
      <c r="AS16" s="89">
        <v>1500</v>
      </c>
      <c r="AT16" s="89">
        <v>4000</v>
      </c>
      <c r="AU16" s="89">
        <v>4240</v>
      </c>
      <c r="AV16" s="89">
        <v>1600</v>
      </c>
      <c r="AW16" s="89">
        <v>0</v>
      </c>
      <c r="AX16" s="89">
        <v>5000</v>
      </c>
      <c r="AY16" s="89">
        <v>24000</v>
      </c>
      <c r="AZ16" s="89">
        <v>4400</v>
      </c>
      <c r="BA16" s="89">
        <v>24000</v>
      </c>
      <c r="BB16" s="89">
        <v>12000</v>
      </c>
      <c r="BC16" s="89">
        <v>4500</v>
      </c>
      <c r="BD16" s="89">
        <v>6000</v>
      </c>
      <c r="BE16" s="89">
        <v>28290</v>
      </c>
      <c r="BF16" s="89">
        <v>37720</v>
      </c>
      <c r="BG16" s="89">
        <v>6667</v>
      </c>
      <c r="BH16" s="89">
        <v>11667</v>
      </c>
      <c r="BI16" s="89">
        <v>20000</v>
      </c>
      <c r="BJ16" s="89">
        <v>16000</v>
      </c>
      <c r="BK16" s="89">
        <v>9775</v>
      </c>
      <c r="BL16" s="89">
        <v>7500</v>
      </c>
      <c r="BM16" s="89">
        <v>10500</v>
      </c>
      <c r="BN16" s="89">
        <v>4000</v>
      </c>
      <c r="BO16" s="89">
        <v>1600</v>
      </c>
      <c r="BP16" s="89">
        <v>4000</v>
      </c>
      <c r="BQ16" s="89">
        <v>4200</v>
      </c>
      <c r="BR16" s="89">
        <v>67500</v>
      </c>
      <c r="BS16" s="89">
        <v>30000</v>
      </c>
      <c r="BT16" s="89">
        <v>5500</v>
      </c>
      <c r="BU16" s="89">
        <v>6400</v>
      </c>
      <c r="BV16" s="89">
        <v>3500</v>
      </c>
      <c r="BW16" s="89">
        <v>6680</v>
      </c>
      <c r="BX16" s="89">
        <v>5348</v>
      </c>
      <c r="BY16" s="89">
        <v>30000</v>
      </c>
      <c r="BZ16" s="89">
        <v>10640</v>
      </c>
      <c r="CA16" s="89">
        <v>4000</v>
      </c>
      <c r="CB16" s="89">
        <v>10000</v>
      </c>
      <c r="CC16" s="89">
        <v>4900</v>
      </c>
      <c r="CD16" s="89">
        <v>4000</v>
      </c>
      <c r="CE16" s="89">
        <v>2400</v>
      </c>
      <c r="CF16" s="89">
        <v>5000</v>
      </c>
      <c r="CG16" s="89">
        <v>2960</v>
      </c>
      <c r="CH16" s="89">
        <v>12800</v>
      </c>
      <c r="CI16" s="89">
        <v>14400</v>
      </c>
      <c r="CJ16" s="89">
        <v>12800</v>
      </c>
      <c r="CK16" s="89">
        <v>6000</v>
      </c>
      <c r="CL16" s="89">
        <v>13200</v>
      </c>
      <c r="CM16" s="89">
        <v>9000</v>
      </c>
      <c r="CN16" s="89">
        <v>3600</v>
      </c>
      <c r="CO16" s="108">
        <v>6550</v>
      </c>
      <c r="CP16" s="108">
        <v>7091</v>
      </c>
      <c r="CQ16" s="108">
        <v>6009</v>
      </c>
      <c r="CR16" s="112">
        <v>5180</v>
      </c>
      <c r="CS16" s="89">
        <v>1680</v>
      </c>
      <c r="CT16" s="89">
        <v>1720</v>
      </c>
      <c r="CU16" s="89">
        <v>1720</v>
      </c>
      <c r="CV16" s="89">
        <v>1400</v>
      </c>
      <c r="CW16" s="89">
        <v>2480</v>
      </c>
      <c r="CX16" s="89">
        <v>3090</v>
      </c>
      <c r="CY16" s="89">
        <v>2250</v>
      </c>
      <c r="CZ16" s="89">
        <v>6317</v>
      </c>
      <c r="DA16" s="89">
        <v>12887</v>
      </c>
      <c r="DB16" s="89">
        <v>2649</v>
      </c>
      <c r="DC16" s="89">
        <v>1000</v>
      </c>
      <c r="DD16" s="89">
        <v>2000</v>
      </c>
      <c r="DE16" s="89">
        <v>1000</v>
      </c>
      <c r="DF16" s="89">
        <v>805</v>
      </c>
      <c r="DG16" s="89">
        <v>1624</v>
      </c>
      <c r="DH16" s="108">
        <v>2861</v>
      </c>
      <c r="DI16" s="108">
        <v>2861</v>
      </c>
      <c r="DJ16" s="108">
        <v>5721</v>
      </c>
      <c r="DK16" s="311">
        <v>31951</v>
      </c>
      <c r="DL16" s="112">
        <v>3171</v>
      </c>
      <c r="DM16" s="89">
        <v>980</v>
      </c>
      <c r="DN16" s="89">
        <v>10800</v>
      </c>
      <c r="DO16" s="89">
        <v>576</v>
      </c>
      <c r="DP16" s="89">
        <v>512</v>
      </c>
      <c r="DQ16" s="89">
        <v>0</v>
      </c>
      <c r="DR16" s="89">
        <v>1000</v>
      </c>
      <c r="DS16" s="89">
        <v>980</v>
      </c>
      <c r="DT16" s="89">
        <v>10800</v>
      </c>
      <c r="DU16" s="89">
        <v>576</v>
      </c>
      <c r="DV16" s="89">
        <v>512</v>
      </c>
      <c r="DW16" s="89">
        <v>0</v>
      </c>
      <c r="DX16" s="89">
        <v>1000</v>
      </c>
      <c r="DY16" s="89">
        <v>1120</v>
      </c>
      <c r="DZ16" s="89">
        <v>1120</v>
      </c>
      <c r="EA16" s="89">
        <v>1040</v>
      </c>
      <c r="EB16" s="89">
        <v>1040</v>
      </c>
      <c r="EC16" s="112">
        <v>960</v>
      </c>
      <c r="ED16" s="112">
        <v>960</v>
      </c>
      <c r="EE16" s="112">
        <v>960</v>
      </c>
      <c r="EF16" s="112">
        <v>960</v>
      </c>
      <c r="EG16" s="492">
        <v>116156</v>
      </c>
      <c r="EH16" s="492">
        <v>9485</v>
      </c>
      <c r="EI16" s="492">
        <v>102480</v>
      </c>
      <c r="EJ16" s="492">
        <v>3719</v>
      </c>
      <c r="EK16" s="492">
        <v>56799</v>
      </c>
      <c r="EL16" s="492">
        <v>175077</v>
      </c>
      <c r="EM16" s="492">
        <v>36038</v>
      </c>
      <c r="EN16" s="492">
        <v>11190</v>
      </c>
    </row>
    <row r="17" spans="1:144" ht="22.5" customHeight="1">
      <c r="A17" s="756"/>
      <c r="B17" s="751" t="s">
        <v>513</v>
      </c>
      <c r="C17" s="751"/>
      <c r="D17" s="89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/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102"/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0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107"/>
      <c r="CP17" s="107"/>
      <c r="CQ17" s="107"/>
      <c r="CR17" s="108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108">
        <v>0</v>
      </c>
      <c r="DI17" s="108">
        <v>0</v>
      </c>
      <c r="DJ17" s="108">
        <v>0</v>
      </c>
      <c r="DK17" s="311"/>
      <c r="DL17" s="112">
        <v>0</v>
      </c>
      <c r="DM17" s="89">
        <v>0</v>
      </c>
      <c r="DN17" s="89">
        <v>0</v>
      </c>
      <c r="DO17" s="89">
        <v>0</v>
      </c>
      <c r="DP17" s="89">
        <v>0</v>
      </c>
      <c r="DQ17" s="89">
        <v>0</v>
      </c>
      <c r="DR17" s="89">
        <v>0</v>
      </c>
      <c r="DS17" s="89">
        <v>0</v>
      </c>
      <c r="DT17" s="89">
        <v>0</v>
      </c>
      <c r="DU17" s="89">
        <v>0</v>
      </c>
      <c r="DV17" s="89">
        <v>0</v>
      </c>
      <c r="DW17" s="89">
        <v>0</v>
      </c>
      <c r="DX17" s="89">
        <v>0</v>
      </c>
      <c r="DY17" s="89">
        <v>0</v>
      </c>
      <c r="DZ17" s="89">
        <v>0</v>
      </c>
      <c r="EA17" s="89">
        <v>0</v>
      </c>
      <c r="EB17" s="89">
        <v>0</v>
      </c>
      <c r="EC17" s="112">
        <v>0</v>
      </c>
      <c r="ED17" s="112">
        <v>0</v>
      </c>
      <c r="EE17" s="112">
        <v>0</v>
      </c>
      <c r="EF17" s="112">
        <v>0</v>
      </c>
      <c r="EG17" s="492"/>
      <c r="EH17" s="492"/>
      <c r="EI17" s="492"/>
      <c r="EJ17" s="492"/>
      <c r="EK17" s="492"/>
      <c r="EL17" s="492"/>
      <c r="EM17" s="492"/>
      <c r="EN17" s="492"/>
    </row>
    <row r="18" spans="1:144" ht="22.5" customHeight="1">
      <c r="A18" s="756"/>
      <c r="B18" s="751" t="s">
        <v>514</v>
      </c>
      <c r="C18" s="751"/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13312</v>
      </c>
      <c r="J18" s="89">
        <v>0</v>
      </c>
      <c r="K18" s="89">
        <v>0</v>
      </c>
      <c r="L18" s="89">
        <v>0</v>
      </c>
      <c r="M18" s="89">
        <v>0</v>
      </c>
      <c r="N18" s="89">
        <v>13312</v>
      </c>
      <c r="O18" s="89"/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154440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102">
        <v>8400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10985</v>
      </c>
      <c r="AX18" s="89">
        <v>0</v>
      </c>
      <c r="AY18" s="89">
        <v>0</v>
      </c>
      <c r="AZ18" s="89">
        <v>0</v>
      </c>
      <c r="BA18" s="89">
        <v>6600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87150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396000</v>
      </c>
      <c r="BP18" s="89">
        <v>0</v>
      </c>
      <c r="BQ18" s="89">
        <v>0</v>
      </c>
      <c r="BR18" s="89">
        <v>724800</v>
      </c>
      <c r="BS18" s="89">
        <v>677269</v>
      </c>
      <c r="BT18" s="89">
        <v>0</v>
      </c>
      <c r="BU18" s="89">
        <v>0</v>
      </c>
      <c r="BV18" s="89">
        <v>0</v>
      </c>
      <c r="BW18" s="89">
        <v>0</v>
      </c>
      <c r="BX18" s="89"/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108">
        <v>20000</v>
      </c>
      <c r="CP18" s="107"/>
      <c r="CQ18" s="107"/>
      <c r="CR18" s="108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108">
        <v>0</v>
      </c>
      <c r="DI18" s="108">
        <v>0</v>
      </c>
      <c r="DJ18" s="108">
        <v>0</v>
      </c>
      <c r="DK18" s="311"/>
      <c r="DL18" s="112">
        <v>0</v>
      </c>
      <c r="DM18" s="89">
        <v>0</v>
      </c>
      <c r="DN18" s="89">
        <v>0</v>
      </c>
      <c r="DO18" s="89">
        <v>0</v>
      </c>
      <c r="DP18" s="89">
        <v>0</v>
      </c>
      <c r="DQ18" s="89">
        <v>0</v>
      </c>
      <c r="DR18" s="89">
        <v>0</v>
      </c>
      <c r="DS18" s="89">
        <v>0</v>
      </c>
      <c r="DT18" s="89">
        <v>0</v>
      </c>
      <c r="DU18" s="89">
        <v>0</v>
      </c>
      <c r="DV18" s="89">
        <v>0</v>
      </c>
      <c r="DW18" s="89">
        <v>0</v>
      </c>
      <c r="DX18" s="89">
        <v>0</v>
      </c>
      <c r="DY18" s="89">
        <v>0</v>
      </c>
      <c r="DZ18" s="89">
        <v>0</v>
      </c>
      <c r="EA18" s="89">
        <v>0</v>
      </c>
      <c r="EB18" s="89">
        <v>0</v>
      </c>
      <c r="EC18" s="112">
        <v>0</v>
      </c>
      <c r="ED18" s="112">
        <v>0</v>
      </c>
      <c r="EE18" s="112">
        <v>0</v>
      </c>
      <c r="EF18" s="112">
        <v>0</v>
      </c>
      <c r="EG18" s="492"/>
      <c r="EH18" s="492"/>
      <c r="EI18" s="492"/>
      <c r="EJ18" s="492"/>
      <c r="EK18" s="492"/>
      <c r="EL18" s="492"/>
      <c r="EM18" s="492"/>
      <c r="EN18" s="492">
        <v>25688</v>
      </c>
    </row>
    <row r="19" spans="1:144" ht="22.5" customHeight="1">
      <c r="A19" s="756"/>
      <c r="B19" s="757" t="s">
        <v>623</v>
      </c>
      <c r="C19" s="751"/>
      <c r="D19" s="422">
        <f>SUM(D20:D22)</f>
        <v>0</v>
      </c>
      <c r="E19" s="422">
        <v>0</v>
      </c>
      <c r="F19" s="422">
        <f aca="true" t="shared" si="0" ref="F19:M19">SUM(F20:F22)</f>
        <v>9183</v>
      </c>
      <c r="G19" s="422">
        <f t="shared" si="0"/>
        <v>9183</v>
      </c>
      <c r="H19" s="422">
        <f t="shared" si="0"/>
        <v>6915</v>
      </c>
      <c r="I19" s="422">
        <f t="shared" si="0"/>
        <v>0</v>
      </c>
      <c r="J19" s="422">
        <f t="shared" si="0"/>
        <v>217701</v>
      </c>
      <c r="K19" s="422">
        <f t="shared" si="0"/>
        <v>0</v>
      </c>
      <c r="L19" s="422">
        <f t="shared" si="0"/>
        <v>190859</v>
      </c>
      <c r="M19" s="422">
        <f t="shared" si="0"/>
        <v>1214125</v>
      </c>
      <c r="N19" s="422"/>
      <c r="O19" s="422"/>
      <c r="P19" s="89">
        <f>SUM(P20:P22)</f>
        <v>872344</v>
      </c>
      <c r="Q19" s="89">
        <f aca="true" t="shared" si="1" ref="Q19:AA19">SUM(Q20:Q22)</f>
        <v>854076</v>
      </c>
      <c r="R19" s="89">
        <f t="shared" si="1"/>
        <v>279164</v>
      </c>
      <c r="S19" s="89">
        <f t="shared" si="1"/>
        <v>390657</v>
      </c>
      <c r="T19" s="89">
        <f t="shared" si="1"/>
        <v>380885</v>
      </c>
      <c r="U19" s="89">
        <f t="shared" si="1"/>
        <v>539765</v>
      </c>
      <c r="V19" s="89">
        <f>SUM(V20:V22)</f>
        <v>190859</v>
      </c>
      <c r="W19" s="89">
        <f t="shared" si="1"/>
        <v>0</v>
      </c>
      <c r="X19" s="89">
        <f t="shared" si="1"/>
        <v>1268672</v>
      </c>
      <c r="Y19" s="89">
        <f t="shared" si="1"/>
        <v>405600</v>
      </c>
      <c r="Z19" s="89">
        <f t="shared" si="1"/>
        <v>268719</v>
      </c>
      <c r="AA19" s="89">
        <f t="shared" si="1"/>
        <v>197306</v>
      </c>
      <c r="AB19" s="89">
        <f aca="true" t="shared" si="2" ref="AB19:AN19">SUM(AB20:AB22)</f>
        <v>320481</v>
      </c>
      <c r="AC19" s="89">
        <f>SUM(AC20:AC22)</f>
        <v>853927</v>
      </c>
      <c r="AD19" s="89">
        <f t="shared" si="2"/>
        <v>534186</v>
      </c>
      <c r="AE19" s="89">
        <f t="shared" si="2"/>
        <v>1214125</v>
      </c>
      <c r="AF19" s="89">
        <f t="shared" si="2"/>
        <v>136742</v>
      </c>
      <c r="AG19" s="89">
        <f t="shared" si="2"/>
        <v>325054</v>
      </c>
      <c r="AH19" s="89">
        <f t="shared" si="2"/>
        <v>687390</v>
      </c>
      <c r="AI19" s="89">
        <f t="shared" si="2"/>
        <v>281354</v>
      </c>
      <c r="AJ19" s="89">
        <f t="shared" si="2"/>
        <v>182578</v>
      </c>
      <c r="AK19" s="89">
        <f t="shared" si="2"/>
        <v>362244</v>
      </c>
      <c r="AL19" s="89">
        <f t="shared" si="2"/>
        <v>0</v>
      </c>
      <c r="AM19" s="89">
        <f t="shared" si="2"/>
        <v>74200</v>
      </c>
      <c r="AN19" s="89">
        <f t="shared" si="2"/>
        <v>0</v>
      </c>
      <c r="AO19" s="89">
        <f aca="true" t="shared" si="3" ref="AO19:AW19">SUM(AO20:AO22)</f>
        <v>300912</v>
      </c>
      <c r="AP19" s="89">
        <f t="shared" si="3"/>
        <v>397302</v>
      </c>
      <c r="AQ19" s="89">
        <f t="shared" si="3"/>
        <v>296213</v>
      </c>
      <c r="AR19" s="89">
        <f t="shared" si="3"/>
        <v>72150</v>
      </c>
      <c r="AS19" s="89">
        <f t="shared" si="3"/>
        <v>74445</v>
      </c>
      <c r="AT19" s="89">
        <f t="shared" si="3"/>
        <v>199240</v>
      </c>
      <c r="AU19" s="89">
        <f t="shared" si="3"/>
        <v>40300</v>
      </c>
      <c r="AV19" s="89">
        <f t="shared" si="3"/>
        <v>65900</v>
      </c>
      <c r="AW19" s="89">
        <f t="shared" si="3"/>
        <v>73620</v>
      </c>
      <c r="AX19" s="89">
        <f aca="true" t="shared" si="4" ref="AX19:BI19">SUM(AX20:AX22)</f>
        <v>165182</v>
      </c>
      <c r="AY19" s="89">
        <f t="shared" si="4"/>
        <v>654056</v>
      </c>
      <c r="AZ19" s="89">
        <f t="shared" si="4"/>
        <v>849671</v>
      </c>
      <c r="BA19" s="89">
        <f t="shared" si="4"/>
        <v>1368840</v>
      </c>
      <c r="BB19" s="89">
        <f t="shared" si="4"/>
        <v>295844</v>
      </c>
      <c r="BC19" s="89">
        <f t="shared" si="4"/>
        <v>1795684</v>
      </c>
      <c r="BD19" s="89">
        <f t="shared" si="4"/>
        <v>1188507</v>
      </c>
      <c r="BE19" s="89">
        <f t="shared" si="4"/>
        <v>708086</v>
      </c>
      <c r="BF19" s="89">
        <f t="shared" si="4"/>
        <v>751810</v>
      </c>
      <c r="BG19" s="89">
        <f t="shared" si="4"/>
        <v>908944</v>
      </c>
      <c r="BH19" s="89">
        <f t="shared" si="4"/>
        <v>1280547</v>
      </c>
      <c r="BI19" s="89">
        <f t="shared" si="4"/>
        <v>2272821</v>
      </c>
      <c r="BJ19" s="89">
        <f aca="true" t="shared" si="5" ref="BJ19:BT19">SUM(BJ20:BJ22)</f>
        <v>1766600</v>
      </c>
      <c r="BK19" s="89">
        <f t="shared" si="5"/>
        <v>488497</v>
      </c>
      <c r="BL19" s="89">
        <f t="shared" si="5"/>
        <v>713928</v>
      </c>
      <c r="BM19" s="89">
        <f t="shared" si="5"/>
        <v>677733</v>
      </c>
      <c r="BN19" s="89">
        <f t="shared" si="5"/>
        <v>406926</v>
      </c>
      <c r="BO19" s="89">
        <f t="shared" si="5"/>
        <v>1412493</v>
      </c>
      <c r="BP19" s="89">
        <f t="shared" si="5"/>
        <v>810620</v>
      </c>
      <c r="BQ19" s="89">
        <f t="shared" si="5"/>
        <v>910463</v>
      </c>
      <c r="BR19" s="89">
        <f t="shared" si="5"/>
        <v>3602040</v>
      </c>
      <c r="BS19" s="89">
        <f t="shared" si="5"/>
        <v>5501400</v>
      </c>
      <c r="BT19" s="89">
        <f t="shared" si="5"/>
        <v>108261</v>
      </c>
      <c r="BU19" s="89">
        <f aca="true" t="shared" si="6" ref="BU19:CF19">SUM(BU20:BU22)</f>
        <v>122952</v>
      </c>
      <c r="BV19" s="89">
        <f t="shared" si="6"/>
        <v>90300</v>
      </c>
      <c r="BW19" s="89">
        <f t="shared" si="6"/>
        <v>191414</v>
      </c>
      <c r="BX19" s="89">
        <f t="shared" si="6"/>
        <v>241248</v>
      </c>
      <c r="BY19" s="89">
        <f t="shared" si="6"/>
        <v>281990</v>
      </c>
      <c r="BZ19" s="89">
        <f t="shared" si="6"/>
        <v>210201</v>
      </c>
      <c r="CA19" s="89">
        <f t="shared" si="6"/>
        <v>645595</v>
      </c>
      <c r="CB19" s="89">
        <f t="shared" si="6"/>
        <v>123800</v>
      </c>
      <c r="CC19" s="89">
        <f t="shared" si="6"/>
        <v>58158</v>
      </c>
      <c r="CD19" s="89">
        <f t="shared" si="6"/>
        <v>8500</v>
      </c>
      <c r="CE19" s="89">
        <f t="shared" si="6"/>
        <v>38784</v>
      </c>
      <c r="CF19" s="89">
        <f t="shared" si="6"/>
        <v>386108</v>
      </c>
      <c r="CG19" s="89">
        <f aca="true" t="shared" si="7" ref="CG19:CN19">SUM(CG20:CG22)</f>
        <v>163056</v>
      </c>
      <c r="CH19" s="89">
        <f t="shared" si="7"/>
        <v>337195</v>
      </c>
      <c r="CI19" s="89">
        <f t="shared" si="7"/>
        <v>230693</v>
      </c>
      <c r="CJ19" s="89">
        <f t="shared" si="7"/>
        <v>396940</v>
      </c>
      <c r="CK19" s="89">
        <f t="shared" si="7"/>
        <v>115590</v>
      </c>
      <c r="CL19" s="89">
        <f t="shared" si="7"/>
        <v>711898</v>
      </c>
      <c r="CM19" s="89">
        <f t="shared" si="7"/>
        <v>123629</v>
      </c>
      <c r="CN19" s="89">
        <f t="shared" si="7"/>
        <v>768950</v>
      </c>
      <c r="CO19" s="111"/>
      <c r="CP19" s="107"/>
      <c r="CQ19" s="107"/>
      <c r="CR19" s="108">
        <v>0</v>
      </c>
      <c r="CS19" s="89">
        <f>SUM(CS20:CS22)</f>
        <v>0</v>
      </c>
      <c r="CT19" s="89">
        <f aca="true" t="shared" si="8" ref="CT19:DD19">SUM(CT20:CT22)</f>
        <v>0</v>
      </c>
      <c r="CU19" s="89">
        <f t="shared" si="8"/>
        <v>0</v>
      </c>
      <c r="CV19" s="89">
        <f t="shared" si="8"/>
        <v>0</v>
      </c>
      <c r="CW19" s="89">
        <f t="shared" si="8"/>
        <v>0</v>
      </c>
      <c r="CX19" s="89">
        <f t="shared" si="8"/>
        <v>0</v>
      </c>
      <c r="CY19" s="89">
        <f t="shared" si="8"/>
        <v>0</v>
      </c>
      <c r="CZ19" s="89">
        <f t="shared" si="8"/>
        <v>0</v>
      </c>
      <c r="DA19" s="89">
        <f t="shared" si="8"/>
        <v>0</v>
      </c>
      <c r="DB19" s="89">
        <f t="shared" si="8"/>
        <v>0</v>
      </c>
      <c r="DC19" s="89">
        <f t="shared" si="8"/>
        <v>0</v>
      </c>
      <c r="DD19" s="89">
        <f t="shared" si="8"/>
        <v>0</v>
      </c>
      <c r="DE19" s="89">
        <v>0</v>
      </c>
      <c r="DF19" s="89">
        <v>0</v>
      </c>
      <c r="DG19" s="89">
        <v>0</v>
      </c>
      <c r="DH19" s="118">
        <f>SUM(DH20:DH22)</f>
        <v>9560</v>
      </c>
      <c r="DI19" s="118">
        <f>SUM(DI20:DI22)</f>
        <v>9560</v>
      </c>
      <c r="DJ19" s="118">
        <f>SUM(DJ20:DJ22)</f>
        <v>9560</v>
      </c>
      <c r="DK19" s="112">
        <f>SUM(DK20:DK22)</f>
        <v>613200</v>
      </c>
      <c r="DL19" s="108">
        <v>0</v>
      </c>
      <c r="DM19" s="89">
        <f aca="true" t="shared" si="9" ref="DM19:EN19">SUM(DM20:DM22)</f>
        <v>9261</v>
      </c>
      <c r="DN19" s="89">
        <f t="shared" si="9"/>
        <v>11550</v>
      </c>
      <c r="DO19" s="89">
        <f t="shared" si="9"/>
        <v>1050</v>
      </c>
      <c r="DP19" s="89">
        <f t="shared" si="9"/>
        <v>4413</v>
      </c>
      <c r="DQ19" s="89">
        <f t="shared" si="9"/>
        <v>0</v>
      </c>
      <c r="DR19" s="89">
        <f t="shared" si="9"/>
        <v>0</v>
      </c>
      <c r="DS19" s="89">
        <f t="shared" si="9"/>
        <v>9261</v>
      </c>
      <c r="DT19" s="89">
        <f t="shared" si="9"/>
        <v>11550</v>
      </c>
      <c r="DU19" s="89">
        <f t="shared" si="9"/>
        <v>0</v>
      </c>
      <c r="DV19" s="89">
        <f t="shared" si="9"/>
        <v>1000</v>
      </c>
      <c r="DW19" s="89">
        <f t="shared" si="9"/>
        <v>0</v>
      </c>
      <c r="DX19" s="89">
        <f t="shared" si="9"/>
        <v>0</v>
      </c>
      <c r="DY19" s="89">
        <f t="shared" si="9"/>
        <v>0</v>
      </c>
      <c r="DZ19" s="89">
        <f t="shared" si="9"/>
        <v>0</v>
      </c>
      <c r="EA19" s="89">
        <f t="shared" si="9"/>
        <v>0</v>
      </c>
      <c r="EB19" s="89">
        <f t="shared" si="9"/>
        <v>0</v>
      </c>
      <c r="EC19" s="89">
        <f t="shared" si="9"/>
        <v>121604</v>
      </c>
      <c r="ED19" s="89">
        <f t="shared" si="9"/>
        <v>149063</v>
      </c>
      <c r="EE19" s="89">
        <f t="shared" si="9"/>
        <v>121604</v>
      </c>
      <c r="EF19" s="89">
        <f t="shared" si="9"/>
        <v>149063</v>
      </c>
      <c r="EG19" s="89">
        <f t="shared" si="9"/>
        <v>433080</v>
      </c>
      <c r="EH19" s="89">
        <f t="shared" si="9"/>
        <v>176460</v>
      </c>
      <c r="EI19" s="89">
        <f t="shared" si="9"/>
        <v>1096066</v>
      </c>
      <c r="EJ19" s="89">
        <f t="shared" si="9"/>
        <v>112922</v>
      </c>
      <c r="EK19" s="89">
        <f t="shared" si="9"/>
        <v>1616418</v>
      </c>
      <c r="EL19" s="89">
        <f t="shared" si="9"/>
        <v>1828842</v>
      </c>
      <c r="EM19" s="89">
        <f t="shared" si="9"/>
        <v>525361</v>
      </c>
      <c r="EN19" s="89">
        <f t="shared" si="9"/>
        <v>0</v>
      </c>
    </row>
    <row r="20" spans="1:144" ht="22.5" customHeight="1">
      <c r="A20" s="756"/>
      <c r="B20" s="756" t="s">
        <v>515</v>
      </c>
      <c r="C20" s="88" t="s">
        <v>516</v>
      </c>
      <c r="D20" s="89">
        <v>0</v>
      </c>
      <c r="E20" s="89">
        <v>0</v>
      </c>
      <c r="F20" s="89">
        <v>9183</v>
      </c>
      <c r="G20" s="89">
        <v>9183</v>
      </c>
      <c r="H20" s="89">
        <v>6915</v>
      </c>
      <c r="I20" s="89">
        <v>0</v>
      </c>
      <c r="J20" s="89">
        <v>141720</v>
      </c>
      <c r="K20" s="89">
        <v>0</v>
      </c>
      <c r="L20" s="89">
        <v>52619</v>
      </c>
      <c r="M20" s="89">
        <v>340450</v>
      </c>
      <c r="N20" s="89"/>
      <c r="O20" s="89"/>
      <c r="P20" s="89">
        <v>346838</v>
      </c>
      <c r="Q20" s="89">
        <v>398351</v>
      </c>
      <c r="R20" s="89">
        <v>121523</v>
      </c>
      <c r="S20" s="89">
        <v>186847</v>
      </c>
      <c r="T20" s="89">
        <v>182030</v>
      </c>
      <c r="U20" s="89">
        <v>224485</v>
      </c>
      <c r="V20" s="89">
        <v>52619</v>
      </c>
      <c r="W20" s="89">
        <v>0</v>
      </c>
      <c r="X20" s="89">
        <v>553858</v>
      </c>
      <c r="Y20" s="89">
        <v>176100</v>
      </c>
      <c r="Z20" s="89">
        <v>122946</v>
      </c>
      <c r="AA20" s="89">
        <v>104146</v>
      </c>
      <c r="AB20" s="89">
        <v>83421</v>
      </c>
      <c r="AC20" s="89">
        <v>320552</v>
      </c>
      <c r="AD20" s="89">
        <v>313371</v>
      </c>
      <c r="AE20" s="89">
        <v>340450</v>
      </c>
      <c r="AF20" s="89">
        <v>65446</v>
      </c>
      <c r="AG20" s="89">
        <v>33488</v>
      </c>
      <c r="AH20" s="89">
        <v>367150</v>
      </c>
      <c r="AI20" s="89">
        <v>215354</v>
      </c>
      <c r="AJ20" s="89">
        <v>120323</v>
      </c>
      <c r="AK20" s="89">
        <v>262301</v>
      </c>
      <c r="AL20" s="89">
        <v>0</v>
      </c>
      <c r="AM20" s="89">
        <v>33900</v>
      </c>
      <c r="AN20" s="89"/>
      <c r="AO20" s="89">
        <v>152712</v>
      </c>
      <c r="AP20" s="89">
        <v>152712</v>
      </c>
      <c r="AQ20" s="89">
        <v>134573</v>
      </c>
      <c r="AR20" s="89">
        <v>44000</v>
      </c>
      <c r="AS20" s="89">
        <v>55250</v>
      </c>
      <c r="AT20" s="89">
        <v>119340</v>
      </c>
      <c r="AU20" s="89">
        <v>7200</v>
      </c>
      <c r="AV20" s="89">
        <v>57500</v>
      </c>
      <c r="AW20" s="89">
        <v>40500</v>
      </c>
      <c r="AX20" s="89">
        <v>143504</v>
      </c>
      <c r="AY20" s="89">
        <v>265220</v>
      </c>
      <c r="AZ20" s="89">
        <v>364584</v>
      </c>
      <c r="BA20" s="89">
        <v>521677</v>
      </c>
      <c r="BB20" s="89">
        <v>94206</v>
      </c>
      <c r="BC20" s="89">
        <v>641750</v>
      </c>
      <c r="BD20" s="89">
        <v>418718</v>
      </c>
      <c r="BE20" s="89">
        <v>255870</v>
      </c>
      <c r="BF20" s="89">
        <v>349840</v>
      </c>
      <c r="BG20" s="89">
        <v>443394</v>
      </c>
      <c r="BH20" s="89">
        <v>404352</v>
      </c>
      <c r="BI20" s="89">
        <v>1167359</v>
      </c>
      <c r="BJ20" s="89">
        <v>783741</v>
      </c>
      <c r="BK20" s="89">
        <v>200146</v>
      </c>
      <c r="BL20" s="89">
        <v>239268</v>
      </c>
      <c r="BM20" s="89">
        <v>238999</v>
      </c>
      <c r="BN20" s="89">
        <v>173440</v>
      </c>
      <c r="BO20" s="89">
        <v>713113</v>
      </c>
      <c r="BP20" s="89">
        <v>196130</v>
      </c>
      <c r="BQ20" s="89">
        <v>302701</v>
      </c>
      <c r="BR20" s="89">
        <v>1201200</v>
      </c>
      <c r="BS20" s="89">
        <v>1561560</v>
      </c>
      <c r="BT20" s="89">
        <v>97741</v>
      </c>
      <c r="BU20" s="89">
        <v>81452</v>
      </c>
      <c r="BV20" s="89">
        <v>26670</v>
      </c>
      <c r="BW20" s="89">
        <v>125258</v>
      </c>
      <c r="BX20" s="89">
        <v>157541</v>
      </c>
      <c r="BY20" s="89">
        <v>225035</v>
      </c>
      <c r="BZ20" s="89">
        <v>141720</v>
      </c>
      <c r="CA20" s="89">
        <v>176650</v>
      </c>
      <c r="CB20" s="89">
        <v>117800</v>
      </c>
      <c r="CC20" s="89">
        <v>44550</v>
      </c>
      <c r="CD20" s="89">
        <v>2500</v>
      </c>
      <c r="CE20" s="89">
        <v>38784</v>
      </c>
      <c r="CF20" s="89">
        <v>144439</v>
      </c>
      <c r="CG20" s="89">
        <v>129390</v>
      </c>
      <c r="CH20" s="89">
        <v>198084</v>
      </c>
      <c r="CI20" s="89">
        <v>119245</v>
      </c>
      <c r="CJ20" s="89">
        <v>211900</v>
      </c>
      <c r="CK20" s="89">
        <v>82500</v>
      </c>
      <c r="CL20" s="89">
        <v>181918</v>
      </c>
      <c r="CM20" s="89">
        <v>93074</v>
      </c>
      <c r="CN20" s="89">
        <v>167090</v>
      </c>
      <c r="CO20" s="111"/>
      <c r="CP20" s="107"/>
      <c r="CQ20" s="107"/>
      <c r="CR20" s="108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116">
        <v>9560</v>
      </c>
      <c r="DI20" s="116">
        <v>9560</v>
      </c>
      <c r="DJ20" s="116">
        <v>9560</v>
      </c>
      <c r="DK20" s="311">
        <v>39360</v>
      </c>
      <c r="DL20" s="112">
        <v>0</v>
      </c>
      <c r="DM20" s="89">
        <v>0</v>
      </c>
      <c r="DN20" s="89">
        <v>11550</v>
      </c>
      <c r="DO20" s="89">
        <v>0</v>
      </c>
      <c r="DP20" s="89">
        <v>0</v>
      </c>
      <c r="DQ20" s="89">
        <v>0</v>
      </c>
      <c r="DR20" s="89">
        <v>0</v>
      </c>
      <c r="DS20" s="89">
        <v>0</v>
      </c>
      <c r="DT20" s="89">
        <v>11550</v>
      </c>
      <c r="DU20" s="89">
        <v>0</v>
      </c>
      <c r="DV20" s="89">
        <v>0</v>
      </c>
      <c r="DW20" s="89">
        <v>0</v>
      </c>
      <c r="DX20" s="89">
        <v>0</v>
      </c>
      <c r="DY20" s="89">
        <v>0</v>
      </c>
      <c r="DZ20" s="89">
        <v>0</v>
      </c>
      <c r="EA20" s="89">
        <v>0</v>
      </c>
      <c r="EB20" s="89">
        <v>0</v>
      </c>
      <c r="EC20" s="112">
        <v>58604</v>
      </c>
      <c r="ED20" s="112">
        <v>81563</v>
      </c>
      <c r="EE20" s="112">
        <v>58604</v>
      </c>
      <c r="EF20" s="112">
        <v>81563</v>
      </c>
      <c r="EG20" s="492">
        <v>218880</v>
      </c>
      <c r="EH20" s="492">
        <v>96480</v>
      </c>
      <c r="EI20" s="492">
        <v>350685</v>
      </c>
      <c r="EJ20" s="492">
        <v>58256</v>
      </c>
      <c r="EK20" s="492">
        <v>655977</v>
      </c>
      <c r="EL20" s="492">
        <v>782406</v>
      </c>
      <c r="EM20" s="492">
        <v>204281</v>
      </c>
      <c r="EN20" s="492"/>
    </row>
    <row r="21" spans="1:144" ht="22.5" customHeight="1">
      <c r="A21" s="756"/>
      <c r="B21" s="756"/>
      <c r="C21" s="88" t="s">
        <v>517</v>
      </c>
      <c r="D21" s="89">
        <v>0</v>
      </c>
      <c r="E21" s="101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7500</v>
      </c>
      <c r="K21" s="101">
        <v>0</v>
      </c>
      <c r="L21" s="101">
        <v>108000</v>
      </c>
      <c r="M21" s="101">
        <v>775500</v>
      </c>
      <c r="N21" s="101">
        <v>87148</v>
      </c>
      <c r="O21" s="101">
        <v>224000</v>
      </c>
      <c r="P21" s="89">
        <v>406192</v>
      </c>
      <c r="Q21" s="89">
        <v>417135</v>
      </c>
      <c r="R21" s="89">
        <v>140000</v>
      </c>
      <c r="S21" s="89">
        <v>164280</v>
      </c>
      <c r="T21" s="89">
        <v>162000</v>
      </c>
      <c r="U21" s="89">
        <v>280000</v>
      </c>
      <c r="V21" s="89">
        <v>108000</v>
      </c>
      <c r="W21" s="89">
        <v>0</v>
      </c>
      <c r="X21" s="89">
        <v>366350</v>
      </c>
      <c r="Y21" s="89">
        <v>166500</v>
      </c>
      <c r="Z21" s="89">
        <v>91868</v>
      </c>
      <c r="AA21" s="89">
        <v>33110</v>
      </c>
      <c r="AB21" s="89">
        <v>198000</v>
      </c>
      <c r="AC21" s="89">
        <v>363800</v>
      </c>
      <c r="AD21" s="89">
        <v>0</v>
      </c>
      <c r="AE21" s="89">
        <v>775500</v>
      </c>
      <c r="AF21" s="89">
        <v>25600</v>
      </c>
      <c r="AG21" s="89">
        <v>267558</v>
      </c>
      <c r="AH21" s="89">
        <v>211464</v>
      </c>
      <c r="AI21" s="89">
        <v>0</v>
      </c>
      <c r="AJ21" s="89">
        <v>0</v>
      </c>
      <c r="AK21" s="89">
        <v>0</v>
      </c>
      <c r="AL21" s="89">
        <v>0</v>
      </c>
      <c r="AM21" s="89">
        <v>29800</v>
      </c>
      <c r="AN21" s="89"/>
      <c r="AO21" s="89">
        <v>123000</v>
      </c>
      <c r="AP21" s="89">
        <v>211200</v>
      </c>
      <c r="AQ21" s="89">
        <v>144000</v>
      </c>
      <c r="AR21" s="89">
        <v>25000</v>
      </c>
      <c r="AS21" s="89">
        <v>3770</v>
      </c>
      <c r="AT21" s="89">
        <v>40000</v>
      </c>
      <c r="AU21" s="89">
        <v>10000</v>
      </c>
      <c r="AV21" s="89">
        <v>0</v>
      </c>
      <c r="AW21" s="89">
        <v>14220</v>
      </c>
      <c r="AX21" s="89">
        <v>0</v>
      </c>
      <c r="AY21" s="89">
        <v>0</v>
      </c>
      <c r="AZ21" s="89">
        <v>386283</v>
      </c>
      <c r="BA21" s="89">
        <v>308286</v>
      </c>
      <c r="BB21" s="89">
        <v>157100</v>
      </c>
      <c r="BC21" s="89">
        <v>1000160</v>
      </c>
      <c r="BD21" s="89">
        <v>590285</v>
      </c>
      <c r="BE21" s="89">
        <v>391500</v>
      </c>
      <c r="BF21" s="89">
        <v>348000</v>
      </c>
      <c r="BG21" s="89">
        <v>412000</v>
      </c>
      <c r="BH21" s="89">
        <v>828000</v>
      </c>
      <c r="BI21" s="89">
        <v>525371</v>
      </c>
      <c r="BJ21" s="89">
        <v>556412</v>
      </c>
      <c r="BK21" s="89">
        <v>173250</v>
      </c>
      <c r="BL21" s="89">
        <v>413424</v>
      </c>
      <c r="BM21" s="89">
        <v>366120</v>
      </c>
      <c r="BN21" s="89">
        <v>213971</v>
      </c>
      <c r="BO21" s="89">
        <v>267410</v>
      </c>
      <c r="BP21" s="89">
        <v>539400</v>
      </c>
      <c r="BQ21" s="89">
        <v>527850</v>
      </c>
      <c r="BR21" s="89">
        <v>2185380</v>
      </c>
      <c r="BS21" s="89">
        <v>3724380</v>
      </c>
      <c r="BT21" s="89">
        <v>10520</v>
      </c>
      <c r="BU21" s="89">
        <v>10000</v>
      </c>
      <c r="BV21" s="89">
        <v>31500</v>
      </c>
      <c r="BW21" s="89">
        <v>27600</v>
      </c>
      <c r="BX21" s="89">
        <v>37440</v>
      </c>
      <c r="BY21" s="89">
        <v>7500</v>
      </c>
      <c r="BZ21" s="89">
        <v>0</v>
      </c>
      <c r="CA21" s="89">
        <v>98784</v>
      </c>
      <c r="CB21" s="89">
        <v>6000</v>
      </c>
      <c r="CC21" s="89">
        <v>0</v>
      </c>
      <c r="CD21" s="89">
        <v>6000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101250</v>
      </c>
      <c r="CK21" s="89">
        <v>0</v>
      </c>
      <c r="CL21" s="89">
        <v>180540</v>
      </c>
      <c r="CM21" s="89">
        <v>0</v>
      </c>
      <c r="CN21" s="89">
        <v>310800</v>
      </c>
      <c r="CO21" s="107"/>
      <c r="CP21" s="107"/>
      <c r="CQ21" s="107"/>
      <c r="CR21" s="108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116">
        <v>0</v>
      </c>
      <c r="DI21" s="116">
        <v>0</v>
      </c>
      <c r="DJ21" s="116">
        <v>0</v>
      </c>
      <c r="DK21" s="311">
        <v>480600</v>
      </c>
      <c r="DL21" s="112">
        <v>0</v>
      </c>
      <c r="DM21" s="89">
        <v>9261</v>
      </c>
      <c r="DN21" s="89">
        <v>0</v>
      </c>
      <c r="DO21" s="89">
        <v>0</v>
      </c>
      <c r="DP21" s="89">
        <v>1000</v>
      </c>
      <c r="DQ21" s="89">
        <v>0</v>
      </c>
      <c r="DR21" s="89">
        <v>0</v>
      </c>
      <c r="DS21" s="89"/>
      <c r="DT21" s="89"/>
      <c r="DU21" s="89"/>
      <c r="DV21" s="89"/>
      <c r="DW21" s="89"/>
      <c r="DX21" s="89"/>
      <c r="DY21" s="89">
        <v>0</v>
      </c>
      <c r="DZ21" s="89">
        <v>0</v>
      </c>
      <c r="EA21" s="89">
        <v>0</v>
      </c>
      <c r="EB21" s="89">
        <v>0</v>
      </c>
      <c r="EC21" s="112">
        <v>0</v>
      </c>
      <c r="ED21" s="112">
        <v>0</v>
      </c>
      <c r="EE21" s="112">
        <v>0</v>
      </c>
      <c r="EF21" s="112">
        <v>0</v>
      </c>
      <c r="EG21" s="492">
        <v>132000</v>
      </c>
      <c r="EH21" s="492">
        <v>49980</v>
      </c>
      <c r="EI21" s="492">
        <v>615600</v>
      </c>
      <c r="EJ21" s="492">
        <v>42794</v>
      </c>
      <c r="EK21" s="492">
        <v>712800</v>
      </c>
      <c r="EL21" s="492">
        <v>776736</v>
      </c>
      <c r="EM21" s="492">
        <v>203450</v>
      </c>
      <c r="EN21" s="492"/>
    </row>
    <row r="22" spans="1:144" ht="22.5" customHeight="1">
      <c r="A22" s="756"/>
      <c r="B22" s="756"/>
      <c r="C22" s="88" t="s">
        <v>518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68481</v>
      </c>
      <c r="K22" s="89">
        <v>0</v>
      </c>
      <c r="L22" s="89">
        <v>30240</v>
      </c>
      <c r="M22" s="89">
        <v>98175</v>
      </c>
      <c r="N22" s="89">
        <v>74366</v>
      </c>
      <c r="O22" s="89">
        <v>29823</v>
      </c>
      <c r="P22" s="89">
        <v>119314</v>
      </c>
      <c r="Q22" s="89">
        <v>38590</v>
      </c>
      <c r="R22" s="89">
        <v>17641</v>
      </c>
      <c r="S22" s="89">
        <v>39530</v>
      </c>
      <c r="T22" s="89">
        <v>36855</v>
      </c>
      <c r="U22" s="89">
        <v>35280</v>
      </c>
      <c r="V22" s="89">
        <v>30240</v>
      </c>
      <c r="W22" s="89">
        <v>0</v>
      </c>
      <c r="X22" s="89">
        <v>348464</v>
      </c>
      <c r="Y22" s="89">
        <v>63000</v>
      </c>
      <c r="Z22" s="89">
        <v>53905</v>
      </c>
      <c r="AA22" s="89">
        <v>60050</v>
      </c>
      <c r="AB22" s="89">
        <v>39060</v>
      </c>
      <c r="AC22" s="89">
        <v>169575</v>
      </c>
      <c r="AD22" s="89">
        <v>220815</v>
      </c>
      <c r="AE22" s="89">
        <v>98175</v>
      </c>
      <c r="AF22" s="89">
        <v>45696</v>
      </c>
      <c r="AG22" s="89">
        <v>24008</v>
      </c>
      <c r="AH22" s="89">
        <v>108776</v>
      </c>
      <c r="AI22" s="89">
        <v>66000</v>
      </c>
      <c r="AJ22" s="89">
        <v>62255</v>
      </c>
      <c r="AK22" s="89">
        <v>99943</v>
      </c>
      <c r="AL22" s="89">
        <v>0</v>
      </c>
      <c r="AM22" s="89">
        <v>10500</v>
      </c>
      <c r="AN22" s="89"/>
      <c r="AO22" s="89">
        <v>25200</v>
      </c>
      <c r="AP22" s="89">
        <v>33390</v>
      </c>
      <c r="AQ22" s="89">
        <v>17640</v>
      </c>
      <c r="AR22" s="89">
        <v>3150</v>
      </c>
      <c r="AS22" s="89">
        <v>15425</v>
      </c>
      <c r="AT22" s="89">
        <v>39900</v>
      </c>
      <c r="AU22" s="89">
        <v>23100</v>
      </c>
      <c r="AV22" s="89">
        <v>8400</v>
      </c>
      <c r="AW22" s="89">
        <v>18900</v>
      </c>
      <c r="AX22" s="89">
        <v>21678</v>
      </c>
      <c r="AY22" s="89">
        <v>388836</v>
      </c>
      <c r="AZ22" s="89">
        <v>98804</v>
      </c>
      <c r="BA22" s="89">
        <v>538877</v>
      </c>
      <c r="BB22" s="89">
        <v>44538</v>
      </c>
      <c r="BC22" s="89">
        <v>153774</v>
      </c>
      <c r="BD22" s="89">
        <v>179504</v>
      </c>
      <c r="BE22" s="89">
        <v>60716</v>
      </c>
      <c r="BF22" s="89">
        <v>53970</v>
      </c>
      <c r="BG22" s="89">
        <v>53550</v>
      </c>
      <c r="BH22" s="89">
        <v>48195</v>
      </c>
      <c r="BI22" s="89">
        <v>580091</v>
      </c>
      <c r="BJ22" s="89">
        <v>426447</v>
      </c>
      <c r="BK22" s="89">
        <v>115101</v>
      </c>
      <c r="BL22" s="89">
        <v>61236</v>
      </c>
      <c r="BM22" s="89">
        <v>72614</v>
      </c>
      <c r="BN22" s="89">
        <v>19515</v>
      </c>
      <c r="BO22" s="89">
        <v>431970</v>
      </c>
      <c r="BP22" s="89">
        <v>75090</v>
      </c>
      <c r="BQ22" s="89">
        <v>79912</v>
      </c>
      <c r="BR22" s="89">
        <v>215460</v>
      </c>
      <c r="BS22" s="89">
        <v>215460</v>
      </c>
      <c r="BT22" s="89">
        <v>0</v>
      </c>
      <c r="BU22" s="89">
        <v>31500</v>
      </c>
      <c r="BV22" s="89">
        <v>32130</v>
      </c>
      <c r="BW22" s="89">
        <v>38556</v>
      </c>
      <c r="BX22" s="89">
        <v>46267</v>
      </c>
      <c r="BY22" s="89">
        <v>49455</v>
      </c>
      <c r="BZ22" s="89">
        <v>68481</v>
      </c>
      <c r="CA22" s="89">
        <v>370161</v>
      </c>
      <c r="CB22" s="89">
        <v>0</v>
      </c>
      <c r="CC22" s="89">
        <v>13608</v>
      </c>
      <c r="CD22" s="89">
        <v>0</v>
      </c>
      <c r="CE22" s="89">
        <v>0</v>
      </c>
      <c r="CF22" s="89">
        <v>241669</v>
      </c>
      <c r="CG22" s="89">
        <v>33666</v>
      </c>
      <c r="CH22" s="89">
        <v>139111</v>
      </c>
      <c r="CI22" s="89">
        <v>111448</v>
      </c>
      <c r="CJ22" s="89">
        <v>83790</v>
      </c>
      <c r="CK22" s="89">
        <v>33090</v>
      </c>
      <c r="CL22" s="89">
        <v>349440</v>
      </c>
      <c r="CM22" s="89">
        <v>30555</v>
      </c>
      <c r="CN22" s="89">
        <v>291060</v>
      </c>
      <c r="CO22" s="107"/>
      <c r="CP22" s="107"/>
      <c r="CQ22" s="107"/>
      <c r="CR22" s="108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116">
        <v>0</v>
      </c>
      <c r="DI22" s="116">
        <v>0</v>
      </c>
      <c r="DJ22" s="116">
        <v>0</v>
      </c>
      <c r="DK22" s="311">
        <v>93240</v>
      </c>
      <c r="DL22" s="112">
        <v>0</v>
      </c>
      <c r="DM22" s="89">
        <v>0</v>
      </c>
      <c r="DN22" s="89">
        <v>0</v>
      </c>
      <c r="DO22" s="89">
        <v>1050</v>
      </c>
      <c r="DP22" s="89">
        <v>3413</v>
      </c>
      <c r="DQ22" s="89">
        <v>0</v>
      </c>
      <c r="DR22" s="89">
        <v>0</v>
      </c>
      <c r="DS22" s="89">
        <v>9261</v>
      </c>
      <c r="DT22" s="89">
        <v>0</v>
      </c>
      <c r="DU22" s="89">
        <v>0</v>
      </c>
      <c r="DV22" s="89">
        <v>1000</v>
      </c>
      <c r="DW22" s="89">
        <v>0</v>
      </c>
      <c r="DX22" s="89">
        <v>0</v>
      </c>
      <c r="DY22" s="89">
        <v>0</v>
      </c>
      <c r="DZ22" s="89">
        <v>0</v>
      </c>
      <c r="EA22" s="89">
        <v>0</v>
      </c>
      <c r="EB22" s="89">
        <v>0</v>
      </c>
      <c r="EC22" s="112">
        <v>63000</v>
      </c>
      <c r="ED22" s="112">
        <v>67500</v>
      </c>
      <c r="EE22" s="112">
        <v>63000</v>
      </c>
      <c r="EF22" s="112">
        <v>67500</v>
      </c>
      <c r="EG22" s="492">
        <v>82200</v>
      </c>
      <c r="EH22" s="492">
        <v>30000</v>
      </c>
      <c r="EI22" s="492">
        <v>129781</v>
      </c>
      <c r="EJ22" s="492">
        <v>11872</v>
      </c>
      <c r="EK22" s="492">
        <v>247641</v>
      </c>
      <c r="EL22" s="492">
        <v>269700</v>
      </c>
      <c r="EM22" s="492">
        <v>117630</v>
      </c>
      <c r="EN22" s="492"/>
    </row>
    <row r="23" spans="1:144" ht="22.5" customHeight="1">
      <c r="A23" s="756"/>
      <c r="B23" s="751" t="s">
        <v>519</v>
      </c>
      <c r="C23" s="75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422">
        <f>SUM(N6:N22)</f>
        <v>242700</v>
      </c>
      <c r="O23" s="422">
        <f>SUM(O6:O22)</f>
        <v>327229</v>
      </c>
      <c r="P23" s="89">
        <f>SUM(P6:P19)</f>
        <v>1569806</v>
      </c>
      <c r="Q23" s="89">
        <f aca="true" t="shared" si="10" ref="Q23:AA23">SUM(Q6:Q19)</f>
        <v>1379474</v>
      </c>
      <c r="R23" s="89">
        <f t="shared" si="10"/>
        <v>605329</v>
      </c>
      <c r="S23" s="89">
        <f t="shared" si="10"/>
        <v>720319</v>
      </c>
      <c r="T23" s="89">
        <f t="shared" si="10"/>
        <v>680029</v>
      </c>
      <c r="U23" s="89">
        <f t="shared" si="10"/>
        <v>984893</v>
      </c>
      <c r="V23" s="89">
        <f t="shared" si="10"/>
        <v>288697</v>
      </c>
      <c r="W23" s="89">
        <f t="shared" si="10"/>
        <v>138662</v>
      </c>
      <c r="X23" s="89">
        <f t="shared" si="10"/>
        <v>1896789</v>
      </c>
      <c r="Y23" s="89">
        <f t="shared" si="10"/>
        <v>710971</v>
      </c>
      <c r="Z23" s="89">
        <f t="shared" si="10"/>
        <v>666582</v>
      </c>
      <c r="AA23" s="89">
        <f t="shared" si="10"/>
        <v>404735</v>
      </c>
      <c r="AB23" s="89">
        <f aca="true" t="shared" si="11" ref="AB23:AN23">SUM(AB6:AB19)</f>
        <v>418209</v>
      </c>
      <c r="AC23" s="89">
        <f t="shared" si="11"/>
        <v>1542136</v>
      </c>
      <c r="AD23" s="89">
        <f t="shared" si="11"/>
        <v>1215781</v>
      </c>
      <c r="AE23" s="89">
        <f t="shared" si="11"/>
        <v>1699861</v>
      </c>
      <c r="AF23" s="89">
        <f t="shared" si="11"/>
        <v>278707</v>
      </c>
      <c r="AG23" s="89">
        <f t="shared" si="11"/>
        <v>514518</v>
      </c>
      <c r="AH23" s="89">
        <f t="shared" si="11"/>
        <v>1607098</v>
      </c>
      <c r="AI23" s="89">
        <f t="shared" si="11"/>
        <v>657573</v>
      </c>
      <c r="AJ23" s="89">
        <f t="shared" si="11"/>
        <v>456172</v>
      </c>
      <c r="AK23" s="89">
        <f t="shared" si="11"/>
        <v>886189</v>
      </c>
      <c r="AL23" s="89">
        <f t="shared" si="11"/>
        <v>374058</v>
      </c>
      <c r="AM23" s="89">
        <f t="shared" si="11"/>
        <v>150441</v>
      </c>
      <c r="AN23" s="89">
        <f t="shared" si="11"/>
        <v>72228</v>
      </c>
      <c r="AO23" s="89">
        <f aca="true" t="shared" si="12" ref="AO23:AW23">SUM(AO6:AO19)</f>
        <v>406068</v>
      </c>
      <c r="AP23" s="89">
        <f t="shared" si="12"/>
        <v>525609</v>
      </c>
      <c r="AQ23" s="89">
        <f t="shared" si="12"/>
        <v>352921</v>
      </c>
      <c r="AR23" s="89">
        <f t="shared" si="12"/>
        <v>178574</v>
      </c>
      <c r="AS23" s="89">
        <f t="shared" si="12"/>
        <v>500232</v>
      </c>
      <c r="AT23" s="89">
        <f t="shared" si="12"/>
        <v>301680</v>
      </c>
      <c r="AU23" s="89">
        <f t="shared" si="12"/>
        <v>151120</v>
      </c>
      <c r="AV23" s="89">
        <f t="shared" si="12"/>
        <v>192385</v>
      </c>
      <c r="AW23" s="89">
        <f t="shared" si="12"/>
        <v>214983</v>
      </c>
      <c r="AX23" s="89">
        <f aca="true" t="shared" si="13" ref="AX23:BI23">SUM(AX6:AX19)</f>
        <v>660374</v>
      </c>
      <c r="AY23" s="89">
        <f t="shared" si="13"/>
        <v>1856719</v>
      </c>
      <c r="AZ23" s="89">
        <f t="shared" si="13"/>
        <v>1348616</v>
      </c>
      <c r="BA23" s="89">
        <f t="shared" si="13"/>
        <v>2517587</v>
      </c>
      <c r="BB23" s="89">
        <f t="shared" si="13"/>
        <v>464297</v>
      </c>
      <c r="BC23" s="89">
        <f t="shared" si="13"/>
        <v>2914242</v>
      </c>
      <c r="BD23" s="89">
        <f t="shared" si="13"/>
        <v>1920230</v>
      </c>
      <c r="BE23" s="89">
        <f t="shared" si="13"/>
        <v>1200370</v>
      </c>
      <c r="BF23" s="89">
        <f t="shared" si="13"/>
        <v>1286688</v>
      </c>
      <c r="BG23" s="89">
        <f t="shared" si="13"/>
        <v>1380981</v>
      </c>
      <c r="BH23" s="89">
        <f t="shared" si="13"/>
        <v>1939209</v>
      </c>
      <c r="BI23" s="89">
        <f t="shared" si="13"/>
        <v>3796914</v>
      </c>
      <c r="BJ23" s="89">
        <f aca="true" t="shared" si="14" ref="BJ23:BT23">SUM(BJ6:BJ19)</f>
        <v>4008543</v>
      </c>
      <c r="BK23" s="89">
        <f t="shared" si="14"/>
        <v>829384</v>
      </c>
      <c r="BL23" s="89">
        <f t="shared" si="14"/>
        <v>984367</v>
      </c>
      <c r="BM23" s="89">
        <f t="shared" si="14"/>
        <v>988351</v>
      </c>
      <c r="BN23" s="89">
        <f t="shared" si="14"/>
        <v>743021</v>
      </c>
      <c r="BO23" s="89">
        <f t="shared" si="14"/>
        <v>2119452</v>
      </c>
      <c r="BP23" s="89">
        <f t="shared" si="14"/>
        <v>1055117</v>
      </c>
      <c r="BQ23" s="89">
        <f t="shared" si="14"/>
        <v>1461834</v>
      </c>
      <c r="BR23" s="89">
        <f t="shared" si="14"/>
        <v>8850851</v>
      </c>
      <c r="BS23" s="89">
        <f t="shared" si="14"/>
        <v>9678455</v>
      </c>
      <c r="BT23" s="89">
        <f t="shared" si="14"/>
        <v>966544</v>
      </c>
      <c r="BU23" s="89">
        <f aca="true" t="shared" si="15" ref="BU23:CF23">SUM(BU6:BU19)</f>
        <v>264937</v>
      </c>
      <c r="BV23" s="89">
        <f t="shared" si="15"/>
        <v>224182</v>
      </c>
      <c r="BW23" s="89">
        <f t="shared" si="15"/>
        <v>321900</v>
      </c>
      <c r="BX23" s="89">
        <f t="shared" si="15"/>
        <v>512336</v>
      </c>
      <c r="BY23" s="89">
        <f t="shared" si="15"/>
        <v>1044736</v>
      </c>
      <c r="BZ23" s="89">
        <f t="shared" si="15"/>
        <v>782769</v>
      </c>
      <c r="CA23" s="89">
        <f t="shared" si="15"/>
        <v>1511546</v>
      </c>
      <c r="CB23" s="89">
        <f t="shared" si="15"/>
        <v>227190</v>
      </c>
      <c r="CC23" s="89">
        <f t="shared" si="15"/>
        <v>170381</v>
      </c>
      <c r="CD23" s="89">
        <f t="shared" si="15"/>
        <v>57852</v>
      </c>
      <c r="CE23" s="89">
        <f t="shared" si="15"/>
        <v>159703</v>
      </c>
      <c r="CF23" s="89">
        <f t="shared" si="15"/>
        <v>605784</v>
      </c>
      <c r="CG23" s="89">
        <f aca="true" t="shared" si="16" ref="CG23:CN23">SUM(CG6:CG19)</f>
        <v>464547</v>
      </c>
      <c r="CH23" s="89">
        <f t="shared" si="16"/>
        <v>774516</v>
      </c>
      <c r="CI23" s="89">
        <f t="shared" si="16"/>
        <v>488934</v>
      </c>
      <c r="CJ23" s="89">
        <f t="shared" si="16"/>
        <v>1039239</v>
      </c>
      <c r="CK23" s="89">
        <f t="shared" si="16"/>
        <v>451059</v>
      </c>
      <c r="CL23" s="89">
        <f t="shared" si="16"/>
        <v>1013542</v>
      </c>
      <c r="CM23" s="89">
        <f t="shared" si="16"/>
        <v>484674</v>
      </c>
      <c r="CN23" s="89">
        <f t="shared" si="16"/>
        <v>1427032</v>
      </c>
      <c r="CO23" s="108">
        <f>SUM(CO6:CO19)</f>
        <v>98900</v>
      </c>
      <c r="CP23" s="108">
        <f>SUM(CP6:CP19)</f>
        <v>120559</v>
      </c>
      <c r="CQ23" s="108">
        <f>SUM(CQ6:CQ19)</f>
        <v>75741</v>
      </c>
      <c r="CR23" s="108">
        <f aca="true" t="shared" si="17" ref="CR23:DD23">SUM(CR6:CR19)</f>
        <v>53397</v>
      </c>
      <c r="CS23" s="108">
        <f t="shared" si="17"/>
        <v>98344</v>
      </c>
      <c r="CT23" s="108">
        <f t="shared" si="17"/>
        <v>142157</v>
      </c>
      <c r="CU23" s="108">
        <f t="shared" si="17"/>
        <v>68894</v>
      </c>
      <c r="CV23" s="108">
        <f t="shared" si="17"/>
        <v>111225</v>
      </c>
      <c r="CW23" s="108">
        <f t="shared" si="17"/>
        <v>107602</v>
      </c>
      <c r="CX23" s="108">
        <f t="shared" si="17"/>
        <v>117892</v>
      </c>
      <c r="CY23" s="108">
        <f t="shared" si="17"/>
        <v>56076</v>
      </c>
      <c r="CZ23" s="108">
        <f t="shared" si="17"/>
        <v>79951</v>
      </c>
      <c r="DA23" s="108">
        <f t="shared" si="17"/>
        <v>126994</v>
      </c>
      <c r="DB23" s="108">
        <f t="shared" si="17"/>
        <v>46230</v>
      </c>
      <c r="DC23" s="108">
        <f t="shared" si="17"/>
        <v>132185</v>
      </c>
      <c r="DD23" s="108">
        <f t="shared" si="17"/>
        <v>131244</v>
      </c>
      <c r="DE23" s="108">
        <f>SUM(DE6:DE22)</f>
        <v>86246</v>
      </c>
      <c r="DF23" s="108">
        <f>SUM(DF6:DF22)</f>
        <v>90186</v>
      </c>
      <c r="DG23" s="108">
        <f>SUM(DG6:DG22)</f>
        <v>161485</v>
      </c>
      <c r="DH23" s="108">
        <f>SUM(DH6:DH19)</f>
        <v>55104</v>
      </c>
      <c r="DI23" s="108">
        <f>SUM(DI6:DI19)</f>
        <v>55104</v>
      </c>
      <c r="DJ23" s="108">
        <f>SUM(DJ6:DJ19)</f>
        <v>67680</v>
      </c>
      <c r="DK23" s="89">
        <f>SUM(DK6:DK19)</f>
        <v>748933</v>
      </c>
      <c r="DL23" s="108">
        <f aca="true" t="shared" si="18" ref="DL23:DQ23">SUM(DL6:DL19)</f>
        <v>193658</v>
      </c>
      <c r="DM23" s="108">
        <f t="shared" si="18"/>
        <v>73342</v>
      </c>
      <c r="DN23" s="108">
        <f t="shared" si="18"/>
        <v>268434</v>
      </c>
      <c r="DO23" s="108">
        <f t="shared" si="18"/>
        <v>25536</v>
      </c>
      <c r="DP23" s="108">
        <f t="shared" si="18"/>
        <v>31891</v>
      </c>
      <c r="DQ23" s="108">
        <f t="shared" si="18"/>
        <v>71732</v>
      </c>
      <c r="DR23" s="108">
        <f>SUM(DR6:DR19)</f>
        <v>79788</v>
      </c>
      <c r="DS23" s="108">
        <f aca="true" t="shared" si="19" ref="DS23:EF23">SUM(DS6:DS19)</f>
        <v>73342</v>
      </c>
      <c r="DT23" s="108">
        <f t="shared" si="19"/>
        <v>268434</v>
      </c>
      <c r="DU23" s="108">
        <f t="shared" si="19"/>
        <v>24486</v>
      </c>
      <c r="DV23" s="108">
        <f t="shared" si="19"/>
        <v>28478</v>
      </c>
      <c r="DW23" s="108">
        <f t="shared" si="19"/>
        <v>71732</v>
      </c>
      <c r="DX23" s="108">
        <f t="shared" si="19"/>
        <v>79788</v>
      </c>
      <c r="DY23" s="108">
        <f t="shared" si="19"/>
        <v>101437</v>
      </c>
      <c r="DZ23" s="108">
        <f t="shared" si="19"/>
        <v>91672</v>
      </c>
      <c r="EA23" s="108">
        <f t="shared" si="19"/>
        <v>79447</v>
      </c>
      <c r="EB23" s="108">
        <f t="shared" si="19"/>
        <v>73212</v>
      </c>
      <c r="EC23" s="108">
        <f t="shared" si="19"/>
        <v>360114</v>
      </c>
      <c r="ED23" s="108">
        <f t="shared" si="19"/>
        <v>387573</v>
      </c>
      <c r="EE23" s="108">
        <f t="shared" si="19"/>
        <v>266838</v>
      </c>
      <c r="EF23" s="108">
        <f t="shared" si="19"/>
        <v>294297</v>
      </c>
      <c r="EG23" s="108">
        <f aca="true" t="shared" si="20" ref="EG23:EN23">SUM(EG6:EG19)</f>
        <v>1065546</v>
      </c>
      <c r="EH23" s="108">
        <f t="shared" si="20"/>
        <v>346381</v>
      </c>
      <c r="EI23" s="108">
        <f t="shared" si="20"/>
        <v>1782845</v>
      </c>
      <c r="EJ23" s="108">
        <f t="shared" si="20"/>
        <v>206070</v>
      </c>
      <c r="EK23" s="108">
        <f t="shared" si="20"/>
        <v>2938471</v>
      </c>
      <c r="EL23" s="108">
        <f>SUM(EL6:EL19)</f>
        <v>3728271</v>
      </c>
      <c r="EM23" s="108">
        <f t="shared" si="20"/>
        <v>832497</v>
      </c>
      <c r="EN23" s="108">
        <f t="shared" si="20"/>
        <v>127623</v>
      </c>
    </row>
    <row r="24" spans="1:144" ht="22.5" customHeight="1">
      <c r="A24" s="754" t="s">
        <v>520</v>
      </c>
      <c r="B24" s="754"/>
      <c r="C24" s="754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460">
        <f>N3-N23</f>
        <v>205446</v>
      </c>
      <c r="O24" s="460">
        <f>O3-O23</f>
        <v>195407.79999999993</v>
      </c>
      <c r="P24" s="89">
        <f>P3-P23</f>
        <v>1204894</v>
      </c>
      <c r="Q24" s="89">
        <f aca="true" t="shared" si="21" ref="Q24:AA24">Q3-Q23</f>
        <v>1507126</v>
      </c>
      <c r="R24" s="89">
        <f t="shared" si="21"/>
        <v>275271</v>
      </c>
      <c r="S24" s="89">
        <f t="shared" si="21"/>
        <v>684542</v>
      </c>
      <c r="T24" s="89">
        <f t="shared" si="21"/>
        <v>688621</v>
      </c>
      <c r="U24" s="89">
        <f t="shared" si="21"/>
        <v>641807</v>
      </c>
      <c r="V24" s="89">
        <f t="shared" si="21"/>
        <v>92603</v>
      </c>
      <c r="W24" s="89">
        <f t="shared" si="21"/>
        <v>71338</v>
      </c>
      <c r="X24" s="89">
        <f t="shared" si="21"/>
        <v>1199461</v>
      </c>
      <c r="Y24" s="89">
        <f t="shared" si="21"/>
        <v>489029</v>
      </c>
      <c r="Z24" s="89">
        <f t="shared" si="21"/>
        <v>181398</v>
      </c>
      <c r="AA24" s="89">
        <f t="shared" si="21"/>
        <v>429035</v>
      </c>
      <c r="AB24" s="89">
        <f aca="true" t="shared" si="22" ref="AB24:AM24">AB3-AB23</f>
        <v>186291</v>
      </c>
      <c r="AC24" s="89">
        <f t="shared" si="22"/>
        <v>454784</v>
      </c>
      <c r="AD24" s="89">
        <f t="shared" si="22"/>
        <v>1557413</v>
      </c>
      <c r="AE24" s="89">
        <f t="shared" si="22"/>
        <v>859917</v>
      </c>
      <c r="AF24" s="89">
        <f t="shared" si="22"/>
        <v>316253</v>
      </c>
      <c r="AG24" s="89">
        <f t="shared" si="22"/>
        <v>366738</v>
      </c>
      <c r="AH24" s="89">
        <f t="shared" si="22"/>
        <v>1441387</v>
      </c>
      <c r="AI24" s="89">
        <f t="shared" si="22"/>
        <v>1215070</v>
      </c>
      <c r="AJ24" s="89">
        <f t="shared" si="22"/>
        <v>590118</v>
      </c>
      <c r="AK24" s="89">
        <f t="shared" si="22"/>
        <v>1394686</v>
      </c>
      <c r="AL24" s="89">
        <f t="shared" si="22"/>
        <v>589142</v>
      </c>
      <c r="AM24" s="89">
        <f t="shared" si="22"/>
        <v>149559</v>
      </c>
      <c r="AN24" s="89">
        <f>AN3-AN23</f>
        <v>227772</v>
      </c>
      <c r="AO24" s="89">
        <f aca="true" t="shared" si="23" ref="AO24:AW24">AO3-AO23</f>
        <v>577932</v>
      </c>
      <c r="AP24" s="89">
        <f t="shared" si="23"/>
        <v>458391</v>
      </c>
      <c r="AQ24" s="89">
        <f t="shared" si="23"/>
        <v>419346</v>
      </c>
      <c r="AR24" s="89">
        <f t="shared" si="23"/>
        <v>221426</v>
      </c>
      <c r="AS24" s="89">
        <f t="shared" si="23"/>
        <v>149768</v>
      </c>
      <c r="AT24" s="89">
        <f t="shared" si="23"/>
        <v>128320</v>
      </c>
      <c r="AU24" s="89">
        <f t="shared" si="23"/>
        <v>88880</v>
      </c>
      <c r="AV24" s="89">
        <f t="shared" si="23"/>
        <v>307615</v>
      </c>
      <c r="AW24" s="89">
        <f t="shared" si="23"/>
        <v>55017</v>
      </c>
      <c r="AX24" s="89">
        <f aca="true" t="shared" si="24" ref="AX24:BI24">AX3-AX23</f>
        <v>443506</v>
      </c>
      <c r="AY24" s="89">
        <f t="shared" si="24"/>
        <v>183431</v>
      </c>
      <c r="AZ24" s="89">
        <f t="shared" si="24"/>
        <v>1034284</v>
      </c>
      <c r="BA24" s="89">
        <f t="shared" si="24"/>
        <v>682885</v>
      </c>
      <c r="BB24" s="89">
        <f t="shared" si="24"/>
        <v>151428</v>
      </c>
      <c r="BC24" s="89">
        <f t="shared" si="24"/>
        <v>1511618</v>
      </c>
      <c r="BD24" s="89">
        <f t="shared" si="24"/>
        <v>816490</v>
      </c>
      <c r="BE24" s="89">
        <f t="shared" si="24"/>
        <v>464630</v>
      </c>
      <c r="BF24" s="89">
        <f t="shared" si="24"/>
        <v>993312</v>
      </c>
      <c r="BG24" s="89">
        <f t="shared" si="24"/>
        <v>1517019</v>
      </c>
      <c r="BH24" s="89">
        <f t="shared" si="24"/>
        <v>587991</v>
      </c>
      <c r="BI24" s="89">
        <f t="shared" si="24"/>
        <v>3734436</v>
      </c>
      <c r="BJ24" s="89">
        <f aca="true" t="shared" si="25" ref="BJ24:BT24">BJ3-BJ23</f>
        <v>1113947</v>
      </c>
      <c r="BK24" s="89">
        <f t="shared" si="25"/>
        <v>522953</v>
      </c>
      <c r="BL24" s="89">
        <f t="shared" si="25"/>
        <v>579473</v>
      </c>
      <c r="BM24" s="89">
        <f t="shared" si="25"/>
        <v>505394</v>
      </c>
      <c r="BN24" s="89">
        <f t="shared" si="25"/>
        <v>428869</v>
      </c>
      <c r="BO24" s="89">
        <f t="shared" si="25"/>
        <v>2255473</v>
      </c>
      <c r="BP24" s="89">
        <f t="shared" si="25"/>
        <v>326083</v>
      </c>
      <c r="BQ24" s="89">
        <f t="shared" si="25"/>
        <v>516601</v>
      </c>
      <c r="BR24" s="89">
        <f t="shared" si="25"/>
        <v>3161149</v>
      </c>
      <c r="BS24" s="89">
        <f t="shared" si="25"/>
        <v>2333545</v>
      </c>
      <c r="BT24" s="89">
        <f t="shared" si="25"/>
        <v>1638312</v>
      </c>
      <c r="BU24" s="89">
        <f aca="true" t="shared" si="26" ref="BU24:CF24">BU3-BU23</f>
        <v>276663</v>
      </c>
      <c r="BV24" s="89">
        <f t="shared" si="26"/>
        <v>246818</v>
      </c>
      <c r="BW24" s="89">
        <f t="shared" si="26"/>
        <v>495540</v>
      </c>
      <c r="BX24" s="89">
        <f t="shared" si="26"/>
        <v>417264</v>
      </c>
      <c r="BY24" s="89">
        <f t="shared" si="26"/>
        <v>884164</v>
      </c>
      <c r="BZ24" s="89">
        <f t="shared" si="26"/>
        <v>634431</v>
      </c>
      <c r="CA24" s="89">
        <f t="shared" si="26"/>
        <v>967350</v>
      </c>
      <c r="CB24" s="89">
        <f t="shared" si="26"/>
        <v>406490</v>
      </c>
      <c r="CC24" s="89">
        <f t="shared" si="26"/>
        <v>260469</v>
      </c>
      <c r="CD24" s="89">
        <f t="shared" si="26"/>
        <v>42148</v>
      </c>
      <c r="CE24" s="89">
        <f t="shared" si="26"/>
        <v>247697</v>
      </c>
      <c r="CF24" s="89">
        <f t="shared" si="26"/>
        <v>838601</v>
      </c>
      <c r="CG24" s="89">
        <f aca="true" t="shared" si="27" ref="CG24:CN24">CG3-CG23</f>
        <v>604788</v>
      </c>
      <c r="CH24" s="89">
        <f t="shared" si="27"/>
        <v>835924</v>
      </c>
      <c r="CI24" s="89">
        <f t="shared" si="27"/>
        <v>407644</v>
      </c>
      <c r="CJ24" s="89">
        <f t="shared" si="27"/>
        <v>664791</v>
      </c>
      <c r="CK24" s="89">
        <f t="shared" si="27"/>
        <v>373941</v>
      </c>
      <c r="CL24" s="89">
        <f t="shared" si="27"/>
        <v>479958</v>
      </c>
      <c r="CM24" s="89">
        <f t="shared" si="27"/>
        <v>516126</v>
      </c>
      <c r="CN24" s="89">
        <f t="shared" si="27"/>
        <v>959968</v>
      </c>
      <c r="CO24" s="108">
        <f>CO3-CO23</f>
        <v>18100</v>
      </c>
      <c r="CP24" s="108">
        <f>CP3-CP23</f>
        <v>9441</v>
      </c>
      <c r="CQ24" s="108">
        <f>CQ3-CQ23</f>
        <v>64839</v>
      </c>
      <c r="CR24" s="108">
        <f aca="true" t="shared" si="28" ref="CR24:DD24">CR3-CR23</f>
        <v>59603</v>
      </c>
      <c r="CS24" s="108">
        <f t="shared" si="28"/>
        <v>34321</v>
      </c>
      <c r="CT24" s="108">
        <f t="shared" si="28"/>
        <v>61943</v>
      </c>
      <c r="CU24" s="108">
        <f t="shared" si="28"/>
        <v>73976</v>
      </c>
      <c r="CV24" s="108">
        <f t="shared" si="28"/>
        <v>60303</v>
      </c>
      <c r="CW24" s="108">
        <f t="shared" si="28"/>
        <v>65883</v>
      </c>
      <c r="CX24" s="108">
        <f t="shared" si="28"/>
        <v>25118</v>
      </c>
      <c r="CY24" s="108">
        <f t="shared" si="28"/>
        <v>107364</v>
      </c>
      <c r="CZ24" s="108">
        <f t="shared" si="28"/>
        <v>22199</v>
      </c>
      <c r="DA24" s="108">
        <f t="shared" si="28"/>
        <v>36446</v>
      </c>
      <c r="DB24" s="108">
        <f t="shared" si="28"/>
        <v>76350</v>
      </c>
      <c r="DC24" s="108">
        <f t="shared" si="28"/>
        <v>51505</v>
      </c>
      <c r="DD24" s="108">
        <f t="shared" si="28"/>
        <v>52446</v>
      </c>
      <c r="DE24" s="108">
        <f aca="true" t="shared" si="29" ref="DE24:DK24">DE3-DE23</f>
        <v>77034</v>
      </c>
      <c r="DF24" s="108">
        <f t="shared" si="29"/>
        <v>52824</v>
      </c>
      <c r="DG24" s="108">
        <f t="shared" si="29"/>
        <v>42615</v>
      </c>
      <c r="DH24" s="108">
        <f t="shared" si="29"/>
        <v>38646</v>
      </c>
      <c r="DI24" s="108">
        <f t="shared" si="29"/>
        <v>7396</v>
      </c>
      <c r="DJ24" s="108">
        <f t="shared" si="29"/>
        <v>26070</v>
      </c>
      <c r="DK24" s="89">
        <f t="shared" si="29"/>
        <v>118967</v>
      </c>
      <c r="DL24" s="108"/>
      <c r="DM24" s="108">
        <f aca="true" t="shared" si="30" ref="DM24:EF24">DM3-DM23</f>
        <v>49718</v>
      </c>
      <c r="DN24" s="108">
        <f t="shared" si="30"/>
        <v>391566</v>
      </c>
      <c r="DO24" s="108">
        <f t="shared" si="30"/>
        <v>94864</v>
      </c>
      <c r="DP24" s="108">
        <f t="shared" si="30"/>
        <v>48109</v>
      </c>
      <c r="DQ24" s="119">
        <f t="shared" si="30"/>
        <v>-71732</v>
      </c>
      <c r="DR24" s="119">
        <f t="shared" si="30"/>
        <v>-79788</v>
      </c>
      <c r="DS24" s="108">
        <f t="shared" si="30"/>
        <v>49718</v>
      </c>
      <c r="DT24" s="108">
        <f t="shared" si="30"/>
        <v>391566</v>
      </c>
      <c r="DU24" s="108">
        <f t="shared" si="30"/>
        <v>95914</v>
      </c>
      <c r="DV24" s="108">
        <f t="shared" si="30"/>
        <v>51522</v>
      </c>
      <c r="DW24" s="108">
        <f t="shared" si="30"/>
        <v>-71732</v>
      </c>
      <c r="DX24" s="108">
        <f t="shared" si="30"/>
        <v>-79788</v>
      </c>
      <c r="DY24" s="108">
        <f t="shared" si="30"/>
        <v>58563</v>
      </c>
      <c r="DZ24" s="108">
        <f t="shared" si="30"/>
        <v>48328</v>
      </c>
      <c r="EA24" s="108">
        <f t="shared" si="30"/>
        <v>80553</v>
      </c>
      <c r="EB24" s="108">
        <f t="shared" si="30"/>
        <v>66788</v>
      </c>
      <c r="EC24" s="108">
        <f t="shared" si="30"/>
        <v>149486</v>
      </c>
      <c r="ED24" s="108">
        <f t="shared" si="30"/>
        <v>174927</v>
      </c>
      <c r="EE24" s="108">
        <f t="shared" si="30"/>
        <v>242762</v>
      </c>
      <c r="EF24" s="108">
        <f t="shared" si="30"/>
        <v>268203</v>
      </c>
      <c r="EG24" s="108">
        <f aca="true" t="shared" si="31" ref="EG24:EN24">EG3-EG23</f>
        <v>758454</v>
      </c>
      <c r="EH24" s="108">
        <f t="shared" si="31"/>
        <v>277603</v>
      </c>
      <c r="EI24" s="108">
        <f t="shared" si="31"/>
        <v>729309</v>
      </c>
      <c r="EJ24" s="108">
        <f t="shared" si="31"/>
        <v>157722</v>
      </c>
      <c r="EK24" s="108">
        <f t="shared" si="31"/>
        <v>1434709</v>
      </c>
      <c r="EL24" s="108">
        <f t="shared" si="31"/>
        <v>1487767</v>
      </c>
      <c r="EM24" s="108">
        <f t="shared" si="31"/>
        <v>444262</v>
      </c>
      <c r="EN24" s="108">
        <f t="shared" si="31"/>
        <v>172377</v>
      </c>
    </row>
  </sheetData>
  <sheetProtection/>
  <protectedRanges>
    <protectedRange sqref="CR6:CR16" name="範囲10"/>
    <protectedRange sqref="DH19:DJ19 DK6:DK22" name="範囲10_1"/>
  </protectedRanges>
  <mergeCells count="22">
    <mergeCell ref="B17:C17"/>
    <mergeCell ref="B18:C18"/>
    <mergeCell ref="B20:B22"/>
    <mergeCell ref="B19:C19"/>
    <mergeCell ref="A24:C24"/>
    <mergeCell ref="B23:C23"/>
    <mergeCell ref="B16:C16"/>
    <mergeCell ref="A1:C1"/>
    <mergeCell ref="A2:C2"/>
    <mergeCell ref="A3:A5"/>
    <mergeCell ref="B3:C3"/>
    <mergeCell ref="B4:C4"/>
    <mergeCell ref="B10:C10"/>
    <mergeCell ref="B5:C5"/>
    <mergeCell ref="A6:A23"/>
    <mergeCell ref="B6:C6"/>
    <mergeCell ref="B8:C8"/>
    <mergeCell ref="B7:C7"/>
    <mergeCell ref="B9:C9"/>
    <mergeCell ref="B11:C11"/>
    <mergeCell ref="B12:C12"/>
    <mergeCell ref="B13:B15"/>
  </mergeCells>
  <printOptions/>
  <pageMargins left="0.787" right="0.26" top="0.69" bottom="0.18" header="0.512" footer="0.51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pane ySplit="2" topLeftCell="A3" activePane="bottomLeft" state="frozen"/>
      <selection pane="topLeft" activeCell="F34" sqref="F34"/>
      <selection pane="bottomLeft" activeCell="F34" sqref="F34"/>
    </sheetView>
  </sheetViews>
  <sheetFormatPr defaultColWidth="4.125" defaultRowHeight="13.5"/>
  <cols>
    <col min="1" max="1" width="17.625" style="13" customWidth="1"/>
    <col min="2" max="2" width="10.50390625" style="13" customWidth="1"/>
    <col min="3" max="3" width="6.375" style="13" customWidth="1"/>
    <col min="4" max="4" width="2.50390625" style="13" customWidth="1"/>
    <col min="5" max="17" width="7.625" style="314" customWidth="1"/>
    <col min="18" max="18" width="9.75390625" style="13" customWidth="1"/>
    <col min="19" max="16384" width="4.125" style="13" customWidth="1"/>
  </cols>
  <sheetData>
    <row r="1" spans="1:17" s="12" customFormat="1" ht="20.25" customHeight="1">
      <c r="A1" s="428" t="s">
        <v>165</v>
      </c>
      <c r="B1" s="428"/>
      <c r="C1" s="428"/>
      <c r="D1" s="11"/>
      <c r="E1" s="429"/>
      <c r="F1" s="429"/>
      <c r="G1" s="429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5" customHeight="1">
      <c r="A2" s="427" t="s">
        <v>163</v>
      </c>
      <c r="B2" s="124" t="s">
        <v>166</v>
      </c>
      <c r="C2" s="758" t="s">
        <v>167</v>
      </c>
      <c r="D2" s="759"/>
      <c r="E2" s="315" t="s">
        <v>597</v>
      </c>
      <c r="F2" s="316" t="s">
        <v>598</v>
      </c>
      <c r="G2" s="316" t="s">
        <v>599</v>
      </c>
      <c r="H2" s="316" t="s">
        <v>600</v>
      </c>
      <c r="I2" s="316" t="s">
        <v>601</v>
      </c>
      <c r="J2" s="316" t="s">
        <v>602</v>
      </c>
      <c r="K2" s="316" t="s">
        <v>603</v>
      </c>
      <c r="L2" s="316" t="s">
        <v>604</v>
      </c>
      <c r="M2" s="316" t="s">
        <v>605</v>
      </c>
      <c r="N2" s="316" t="s">
        <v>606</v>
      </c>
      <c r="O2" s="316" t="s">
        <v>607</v>
      </c>
      <c r="P2" s="317" t="s">
        <v>608</v>
      </c>
      <c r="Q2" s="318" t="s">
        <v>609</v>
      </c>
    </row>
    <row r="3" spans="1:17" s="21" customFormat="1" ht="14.25">
      <c r="A3" s="450" t="s">
        <v>629</v>
      </c>
      <c r="B3" s="123" t="s">
        <v>347</v>
      </c>
      <c r="C3" s="453">
        <v>10</v>
      </c>
      <c r="D3" s="454" t="s">
        <v>325</v>
      </c>
      <c r="E3" s="319">
        <v>0.425</v>
      </c>
      <c r="F3" s="320">
        <v>0.825</v>
      </c>
      <c r="G3" s="320">
        <v>3.075</v>
      </c>
      <c r="H3" s="320">
        <v>0.675</v>
      </c>
      <c r="I3" s="320">
        <v>1.38</v>
      </c>
      <c r="J3" s="320">
        <v>2.035</v>
      </c>
      <c r="K3" s="320">
        <v>0.17</v>
      </c>
      <c r="L3" s="320">
        <v>0.12</v>
      </c>
      <c r="M3" s="320">
        <v>0.195</v>
      </c>
      <c r="N3" s="320">
        <v>1.22</v>
      </c>
      <c r="O3" s="320">
        <v>0.075</v>
      </c>
      <c r="P3" s="321">
        <v>0</v>
      </c>
      <c r="Q3" s="322">
        <f aca="true" t="shared" si="0" ref="Q3:Q39">SUM(E3:P3)</f>
        <v>10.194999999999999</v>
      </c>
    </row>
    <row r="4" spans="1:18" ht="15" customHeight="1">
      <c r="A4" s="451" t="s">
        <v>343</v>
      </c>
      <c r="B4" s="120" t="s">
        <v>346</v>
      </c>
      <c r="C4" s="455">
        <v>10</v>
      </c>
      <c r="D4" s="456" t="s">
        <v>325</v>
      </c>
      <c r="E4" s="447">
        <v>0</v>
      </c>
      <c r="F4" s="448">
        <v>0.8</v>
      </c>
      <c r="G4" s="448">
        <v>4.66</v>
      </c>
      <c r="H4" s="448">
        <v>0.24</v>
      </c>
      <c r="I4" s="448">
        <v>2.04</v>
      </c>
      <c r="J4" s="448">
        <v>2.84</v>
      </c>
      <c r="K4" s="448">
        <v>0.34</v>
      </c>
      <c r="L4" s="448">
        <v>0.24</v>
      </c>
      <c r="M4" s="448">
        <v>0.24</v>
      </c>
      <c r="N4" s="448">
        <v>2.44</v>
      </c>
      <c r="O4" s="448">
        <v>0</v>
      </c>
      <c r="P4" s="449">
        <v>0</v>
      </c>
      <c r="Q4" s="323">
        <f>SUM(E4:P4)</f>
        <v>13.84</v>
      </c>
      <c r="R4" s="13" t="s">
        <v>348</v>
      </c>
    </row>
    <row r="5" spans="1:18" ht="15" customHeight="1">
      <c r="A5" s="451" t="s">
        <v>344</v>
      </c>
      <c r="B5" s="120" t="s">
        <v>345</v>
      </c>
      <c r="C5" s="455">
        <v>10</v>
      </c>
      <c r="D5" s="456" t="s">
        <v>325</v>
      </c>
      <c r="E5" s="447">
        <v>0.85</v>
      </c>
      <c r="F5" s="448">
        <v>0.85</v>
      </c>
      <c r="G5" s="448">
        <v>1.49</v>
      </c>
      <c r="H5" s="448">
        <v>1.11</v>
      </c>
      <c r="I5" s="448">
        <v>0.72</v>
      </c>
      <c r="J5" s="448">
        <v>1.23</v>
      </c>
      <c r="K5" s="448">
        <v>0</v>
      </c>
      <c r="L5" s="448">
        <v>0</v>
      </c>
      <c r="M5" s="448">
        <v>0.15</v>
      </c>
      <c r="N5" s="448">
        <v>0</v>
      </c>
      <c r="O5" s="448">
        <v>0.15</v>
      </c>
      <c r="P5" s="449">
        <v>0</v>
      </c>
      <c r="Q5" s="323">
        <f>SUM(E5:P5)</f>
        <v>6.550000000000001</v>
      </c>
      <c r="R5" s="13" t="s">
        <v>628</v>
      </c>
    </row>
    <row r="6" spans="1:18" ht="15" customHeight="1">
      <c r="A6" s="451" t="s">
        <v>341</v>
      </c>
      <c r="B6" s="120" t="s">
        <v>345</v>
      </c>
      <c r="C6" s="455">
        <v>10</v>
      </c>
      <c r="D6" s="456" t="s">
        <v>325</v>
      </c>
      <c r="E6" s="312">
        <v>1</v>
      </c>
      <c r="F6" s="101">
        <v>1</v>
      </c>
      <c r="G6" s="101">
        <v>1</v>
      </c>
      <c r="H6" s="101">
        <v>3</v>
      </c>
      <c r="I6" s="101">
        <v>3</v>
      </c>
      <c r="J6" s="101">
        <v>1.2</v>
      </c>
      <c r="K6" s="101">
        <v>0.7</v>
      </c>
      <c r="L6" s="101">
        <f>0.7+6.4+1.5</f>
        <v>8.600000000000001</v>
      </c>
      <c r="M6" s="101">
        <v>2.5</v>
      </c>
      <c r="N6" s="101">
        <v>1.5</v>
      </c>
      <c r="O6" s="101">
        <v>1</v>
      </c>
      <c r="P6" s="313">
        <v>1.3</v>
      </c>
      <c r="Q6" s="323">
        <f t="shared" si="0"/>
        <v>25.8</v>
      </c>
      <c r="R6" s="13" t="s">
        <v>348</v>
      </c>
    </row>
    <row r="7" spans="1:17" ht="15" customHeight="1">
      <c r="A7" s="451" t="s">
        <v>339</v>
      </c>
      <c r="B7" s="120" t="s">
        <v>340</v>
      </c>
      <c r="C7" s="455">
        <v>10</v>
      </c>
      <c r="D7" s="456" t="s">
        <v>325</v>
      </c>
      <c r="E7" s="324">
        <v>0</v>
      </c>
      <c r="F7" s="325">
        <v>0</v>
      </c>
      <c r="G7" s="325">
        <v>3.7</v>
      </c>
      <c r="H7" s="325">
        <v>20</v>
      </c>
      <c r="I7" s="325">
        <v>15.7</v>
      </c>
      <c r="J7" s="325">
        <v>93</v>
      </c>
      <c r="K7" s="325">
        <v>74</v>
      </c>
      <c r="L7" s="325">
        <v>0</v>
      </c>
      <c r="M7" s="325">
        <v>0.4</v>
      </c>
      <c r="N7" s="325">
        <v>6.5</v>
      </c>
      <c r="O7" s="325">
        <v>4.5</v>
      </c>
      <c r="P7" s="326">
        <v>0</v>
      </c>
      <c r="Q7" s="323">
        <f t="shared" si="0"/>
        <v>217.8</v>
      </c>
    </row>
    <row r="8" spans="1:18" ht="15" customHeight="1">
      <c r="A8" s="451" t="s">
        <v>349</v>
      </c>
      <c r="B8" s="120" t="s">
        <v>345</v>
      </c>
      <c r="C8" s="455">
        <v>10</v>
      </c>
      <c r="D8" s="456" t="s">
        <v>325</v>
      </c>
      <c r="E8" s="312">
        <v>1.5</v>
      </c>
      <c r="F8" s="101">
        <v>1</v>
      </c>
      <c r="G8" s="101">
        <v>2.5</v>
      </c>
      <c r="H8" s="101">
        <v>0.5</v>
      </c>
      <c r="I8" s="101">
        <v>3.3</v>
      </c>
      <c r="J8" s="101">
        <v>3</v>
      </c>
      <c r="K8" s="101">
        <v>1</v>
      </c>
      <c r="L8" s="101">
        <v>0</v>
      </c>
      <c r="M8" s="101">
        <v>0</v>
      </c>
      <c r="N8" s="101">
        <v>0</v>
      </c>
      <c r="O8" s="101">
        <v>0</v>
      </c>
      <c r="P8" s="313">
        <v>1</v>
      </c>
      <c r="Q8" s="323">
        <f>SUM(E8:P8)</f>
        <v>13.8</v>
      </c>
      <c r="R8" s="13" t="s">
        <v>348</v>
      </c>
    </row>
    <row r="9" spans="1:17" ht="15" customHeight="1">
      <c r="A9" s="423" t="s">
        <v>168</v>
      </c>
      <c r="B9" s="121" t="s">
        <v>169</v>
      </c>
      <c r="C9" s="455">
        <v>10</v>
      </c>
      <c r="D9" s="457" t="s">
        <v>170</v>
      </c>
      <c r="E9" s="324">
        <v>124.2</v>
      </c>
      <c r="F9" s="325">
        <v>174.2</v>
      </c>
      <c r="G9" s="325">
        <v>186.2</v>
      </c>
      <c r="H9" s="325">
        <v>162.2</v>
      </c>
      <c r="I9" s="325">
        <v>166.2</v>
      </c>
      <c r="J9" s="325">
        <v>144.6</v>
      </c>
      <c r="K9" s="325">
        <v>0</v>
      </c>
      <c r="L9" s="325">
        <v>0</v>
      </c>
      <c r="M9" s="325">
        <v>7</v>
      </c>
      <c r="N9" s="325">
        <v>75.8</v>
      </c>
      <c r="O9" s="325">
        <v>24.8</v>
      </c>
      <c r="P9" s="326">
        <v>24.8</v>
      </c>
      <c r="Q9" s="323">
        <f t="shared" si="0"/>
        <v>1090</v>
      </c>
    </row>
    <row r="10" spans="1:17" ht="15" customHeight="1">
      <c r="A10" s="423" t="s">
        <v>171</v>
      </c>
      <c r="B10" s="121" t="s">
        <v>172</v>
      </c>
      <c r="C10" s="455">
        <v>10</v>
      </c>
      <c r="D10" s="457" t="s">
        <v>173</v>
      </c>
      <c r="E10" s="324">
        <v>159</v>
      </c>
      <c r="F10" s="325">
        <v>155</v>
      </c>
      <c r="G10" s="325">
        <v>180</v>
      </c>
      <c r="H10" s="325">
        <v>176</v>
      </c>
      <c r="I10" s="325">
        <v>204</v>
      </c>
      <c r="J10" s="325">
        <v>229</v>
      </c>
      <c r="K10" s="325">
        <v>101</v>
      </c>
      <c r="L10" s="325">
        <v>134</v>
      </c>
      <c r="M10" s="325">
        <v>64</v>
      </c>
      <c r="N10" s="325">
        <v>32</v>
      </c>
      <c r="O10" s="325">
        <v>38</v>
      </c>
      <c r="P10" s="326">
        <v>152</v>
      </c>
      <c r="Q10" s="323">
        <f t="shared" si="0"/>
        <v>1624</v>
      </c>
    </row>
    <row r="11" spans="1:17" ht="15" customHeight="1">
      <c r="A11" s="423" t="s">
        <v>174</v>
      </c>
      <c r="B11" s="121" t="s">
        <v>175</v>
      </c>
      <c r="C11" s="455">
        <v>10</v>
      </c>
      <c r="D11" s="457" t="s">
        <v>176</v>
      </c>
      <c r="E11" s="324">
        <v>384.5</v>
      </c>
      <c r="F11" s="325">
        <v>15</v>
      </c>
      <c r="G11" s="325">
        <v>0</v>
      </c>
      <c r="H11" s="325">
        <v>0</v>
      </c>
      <c r="I11" s="325">
        <v>0</v>
      </c>
      <c r="J11" s="325">
        <v>0</v>
      </c>
      <c r="K11" s="325">
        <v>0</v>
      </c>
      <c r="L11" s="325">
        <v>0</v>
      </c>
      <c r="M11" s="325">
        <v>30</v>
      </c>
      <c r="N11" s="325">
        <v>45</v>
      </c>
      <c r="O11" s="325">
        <v>47.5</v>
      </c>
      <c r="P11" s="326">
        <v>24</v>
      </c>
      <c r="Q11" s="323">
        <f t="shared" si="0"/>
        <v>546</v>
      </c>
    </row>
    <row r="12" spans="1:17" ht="15" customHeight="1">
      <c r="A12" s="425" t="s">
        <v>177</v>
      </c>
      <c r="B12" s="121" t="s">
        <v>169</v>
      </c>
      <c r="C12" s="455">
        <v>10</v>
      </c>
      <c r="D12" s="457" t="s">
        <v>170</v>
      </c>
      <c r="E12" s="324">
        <v>82.5</v>
      </c>
      <c r="F12" s="325">
        <v>332</v>
      </c>
      <c r="G12" s="325">
        <v>242</v>
      </c>
      <c r="H12" s="325">
        <v>405</v>
      </c>
      <c r="I12" s="325">
        <v>0</v>
      </c>
      <c r="J12" s="325">
        <v>0</v>
      </c>
      <c r="K12" s="325">
        <v>0</v>
      </c>
      <c r="L12" s="325">
        <v>0</v>
      </c>
      <c r="M12" s="325">
        <v>0</v>
      </c>
      <c r="N12" s="325">
        <v>6</v>
      </c>
      <c r="O12" s="325">
        <v>65</v>
      </c>
      <c r="P12" s="326">
        <v>52.5</v>
      </c>
      <c r="Q12" s="323">
        <f t="shared" si="0"/>
        <v>1185</v>
      </c>
    </row>
    <row r="13" spans="1:17" ht="15" customHeight="1">
      <c r="A13" s="425" t="s">
        <v>178</v>
      </c>
      <c r="B13" s="121" t="s">
        <v>169</v>
      </c>
      <c r="C13" s="455">
        <v>10</v>
      </c>
      <c r="D13" s="457" t="s">
        <v>170</v>
      </c>
      <c r="E13" s="324">
        <v>122</v>
      </c>
      <c r="F13" s="325">
        <v>20.5</v>
      </c>
      <c r="G13" s="325">
        <v>8</v>
      </c>
      <c r="H13" s="325">
        <v>374.3</v>
      </c>
      <c r="I13" s="325">
        <v>15</v>
      </c>
      <c r="J13" s="325">
        <v>0</v>
      </c>
      <c r="K13" s="325">
        <v>0</v>
      </c>
      <c r="L13" s="325">
        <v>0</v>
      </c>
      <c r="M13" s="325">
        <v>24</v>
      </c>
      <c r="N13" s="325">
        <v>17.5</v>
      </c>
      <c r="O13" s="325">
        <v>15</v>
      </c>
      <c r="P13" s="326">
        <v>286.2</v>
      </c>
      <c r="Q13" s="323">
        <f t="shared" si="0"/>
        <v>882.5</v>
      </c>
    </row>
    <row r="14" spans="1:17" ht="15" customHeight="1">
      <c r="A14" s="423" t="s">
        <v>179</v>
      </c>
      <c r="B14" s="121" t="s">
        <v>180</v>
      </c>
      <c r="C14" s="455">
        <v>10</v>
      </c>
      <c r="D14" s="457" t="s">
        <v>173</v>
      </c>
      <c r="E14" s="324">
        <v>51</v>
      </c>
      <c r="F14" s="325">
        <v>64.5</v>
      </c>
      <c r="G14" s="325">
        <v>0</v>
      </c>
      <c r="H14" s="325">
        <v>0</v>
      </c>
      <c r="I14" s="325">
        <v>0</v>
      </c>
      <c r="J14" s="325">
        <v>0</v>
      </c>
      <c r="K14" s="325">
        <v>0</v>
      </c>
      <c r="L14" s="325">
        <v>0</v>
      </c>
      <c r="M14" s="325">
        <v>88</v>
      </c>
      <c r="N14" s="325">
        <v>17</v>
      </c>
      <c r="O14" s="325">
        <v>10.5</v>
      </c>
      <c r="P14" s="326">
        <v>122.5</v>
      </c>
      <c r="Q14" s="323">
        <f t="shared" si="0"/>
        <v>353.5</v>
      </c>
    </row>
    <row r="15" spans="1:18" s="14" customFormat="1" ht="15" customHeight="1">
      <c r="A15" s="423" t="s">
        <v>181</v>
      </c>
      <c r="B15" s="121" t="s">
        <v>125</v>
      </c>
      <c r="C15" s="455">
        <v>10</v>
      </c>
      <c r="D15" s="458" t="s">
        <v>173</v>
      </c>
      <c r="E15" s="324">
        <v>31</v>
      </c>
      <c r="F15" s="325">
        <v>1</v>
      </c>
      <c r="G15" s="325">
        <v>11</v>
      </c>
      <c r="H15" s="325">
        <v>69</v>
      </c>
      <c r="I15" s="325">
        <v>97</v>
      </c>
      <c r="J15" s="325">
        <v>63</v>
      </c>
      <c r="K15" s="325">
        <v>3</v>
      </c>
      <c r="L15" s="327">
        <v>0</v>
      </c>
      <c r="M15" s="327">
        <v>0</v>
      </c>
      <c r="N15" s="327">
        <v>0</v>
      </c>
      <c r="O15" s="327">
        <v>0</v>
      </c>
      <c r="P15" s="328">
        <v>1</v>
      </c>
      <c r="Q15" s="329">
        <f t="shared" si="0"/>
        <v>276</v>
      </c>
      <c r="R15" s="14" t="s">
        <v>348</v>
      </c>
    </row>
    <row r="16" spans="1:17" s="14" customFormat="1" ht="15" customHeight="1">
      <c r="A16" s="426" t="s">
        <v>591</v>
      </c>
      <c r="B16" s="121" t="s">
        <v>125</v>
      </c>
      <c r="C16" s="455">
        <v>10</v>
      </c>
      <c r="D16" s="458" t="s">
        <v>592</v>
      </c>
      <c r="E16" s="324">
        <v>0</v>
      </c>
      <c r="F16" s="325">
        <v>0</v>
      </c>
      <c r="G16" s="325">
        <v>0</v>
      </c>
      <c r="H16" s="325">
        <v>0</v>
      </c>
      <c r="I16" s="325">
        <v>0</v>
      </c>
      <c r="J16" s="325">
        <v>0</v>
      </c>
      <c r="K16" s="325">
        <v>0</v>
      </c>
      <c r="L16" s="327">
        <v>12.5</v>
      </c>
      <c r="M16" s="327">
        <v>9</v>
      </c>
      <c r="N16" s="327">
        <v>123</v>
      </c>
      <c r="O16" s="327">
        <v>121</v>
      </c>
      <c r="P16" s="328">
        <v>121</v>
      </c>
      <c r="Q16" s="329">
        <v>386.5</v>
      </c>
    </row>
    <row r="17" spans="1:17" ht="15" customHeight="1">
      <c r="A17" s="423" t="s">
        <v>182</v>
      </c>
      <c r="B17" s="121" t="s">
        <v>180</v>
      </c>
      <c r="C17" s="455">
        <v>10</v>
      </c>
      <c r="D17" s="458" t="s">
        <v>173</v>
      </c>
      <c r="E17" s="330">
        <v>8</v>
      </c>
      <c r="F17" s="325">
        <v>0</v>
      </c>
      <c r="G17" s="325">
        <v>0</v>
      </c>
      <c r="H17" s="325">
        <v>0</v>
      </c>
      <c r="I17" s="325">
        <v>0</v>
      </c>
      <c r="J17" s="325">
        <v>0</v>
      </c>
      <c r="K17" s="325">
        <v>0</v>
      </c>
      <c r="L17" s="327">
        <v>14</v>
      </c>
      <c r="M17" s="327">
        <v>18.6</v>
      </c>
      <c r="N17" s="327">
        <v>34.6</v>
      </c>
      <c r="O17" s="327">
        <v>25.6</v>
      </c>
      <c r="P17" s="328">
        <v>35</v>
      </c>
      <c r="Q17" s="329">
        <f t="shared" si="0"/>
        <v>135.8</v>
      </c>
    </row>
    <row r="18" spans="1:17" ht="15" customHeight="1">
      <c r="A18" s="423" t="s">
        <v>183</v>
      </c>
      <c r="B18" s="121" t="s">
        <v>125</v>
      </c>
      <c r="C18" s="455">
        <v>10</v>
      </c>
      <c r="D18" s="458" t="s">
        <v>173</v>
      </c>
      <c r="E18" s="330">
        <v>227.4</v>
      </c>
      <c r="F18" s="327">
        <v>215.7</v>
      </c>
      <c r="G18" s="327">
        <v>260.1</v>
      </c>
      <c r="H18" s="327">
        <v>319.7</v>
      </c>
      <c r="I18" s="327">
        <v>344.2</v>
      </c>
      <c r="J18" s="327">
        <v>20</v>
      </c>
      <c r="K18" s="325">
        <v>0</v>
      </c>
      <c r="L18" s="325">
        <v>0</v>
      </c>
      <c r="M18" s="327">
        <v>30.7</v>
      </c>
      <c r="N18" s="327">
        <v>47.2</v>
      </c>
      <c r="O18" s="327">
        <v>24.8</v>
      </c>
      <c r="P18" s="328">
        <v>230.6</v>
      </c>
      <c r="Q18" s="329">
        <f t="shared" si="0"/>
        <v>1720.4</v>
      </c>
    </row>
    <row r="19" spans="1:17" ht="15" customHeight="1">
      <c r="A19" s="423" t="s">
        <v>184</v>
      </c>
      <c r="B19" s="121" t="s">
        <v>175</v>
      </c>
      <c r="C19" s="455">
        <v>10</v>
      </c>
      <c r="D19" s="458" t="s">
        <v>176</v>
      </c>
      <c r="E19" s="330">
        <v>56.3</v>
      </c>
      <c r="F19" s="327">
        <v>38.7</v>
      </c>
      <c r="G19" s="327">
        <v>38.4</v>
      </c>
      <c r="H19" s="325">
        <v>0</v>
      </c>
      <c r="I19" s="325">
        <v>0</v>
      </c>
      <c r="J19" s="325">
        <v>0</v>
      </c>
      <c r="K19" s="325">
        <v>0</v>
      </c>
      <c r="L19" s="325">
        <v>0</v>
      </c>
      <c r="M19" s="325">
        <v>0</v>
      </c>
      <c r="N19" s="327">
        <v>6</v>
      </c>
      <c r="O19" s="327">
        <v>99.2</v>
      </c>
      <c r="P19" s="328">
        <v>54.9</v>
      </c>
      <c r="Q19" s="329">
        <f t="shared" si="0"/>
        <v>293.5</v>
      </c>
    </row>
    <row r="20" spans="1:17" ht="15" customHeight="1">
      <c r="A20" s="423" t="s">
        <v>185</v>
      </c>
      <c r="B20" s="121" t="s">
        <v>125</v>
      </c>
      <c r="C20" s="455">
        <v>10</v>
      </c>
      <c r="D20" s="457" t="s">
        <v>173</v>
      </c>
      <c r="E20" s="324">
        <v>59.4</v>
      </c>
      <c r="F20" s="325">
        <v>43.9</v>
      </c>
      <c r="G20" s="325">
        <v>0</v>
      </c>
      <c r="H20" s="325">
        <v>0</v>
      </c>
      <c r="I20" s="325">
        <v>0</v>
      </c>
      <c r="J20" s="325">
        <v>1</v>
      </c>
      <c r="K20" s="325">
        <v>0</v>
      </c>
      <c r="L20" s="325">
        <v>5.5</v>
      </c>
      <c r="M20" s="325">
        <v>0</v>
      </c>
      <c r="N20" s="325">
        <v>13.5</v>
      </c>
      <c r="O20" s="325">
        <v>123</v>
      </c>
      <c r="P20" s="326">
        <v>73.5</v>
      </c>
      <c r="Q20" s="323">
        <f t="shared" si="0"/>
        <v>319.8</v>
      </c>
    </row>
    <row r="21" spans="1:17" ht="14.25">
      <c r="A21" s="423" t="s">
        <v>186</v>
      </c>
      <c r="B21" s="121" t="s">
        <v>125</v>
      </c>
      <c r="C21" s="455">
        <v>10</v>
      </c>
      <c r="D21" s="457" t="s">
        <v>173</v>
      </c>
      <c r="E21" s="324">
        <v>7</v>
      </c>
      <c r="F21" s="325">
        <v>93.9</v>
      </c>
      <c r="G21" s="325">
        <v>79.5</v>
      </c>
      <c r="H21" s="325">
        <v>79.3</v>
      </c>
      <c r="I21" s="325">
        <v>78.8</v>
      </c>
      <c r="J21" s="325">
        <v>17</v>
      </c>
      <c r="K21" s="325">
        <v>0</v>
      </c>
      <c r="L21" s="325">
        <v>1</v>
      </c>
      <c r="M21" s="325">
        <v>0.5</v>
      </c>
      <c r="N21" s="325">
        <v>0</v>
      </c>
      <c r="O21" s="325">
        <v>0</v>
      </c>
      <c r="P21" s="326">
        <v>0</v>
      </c>
      <c r="Q21" s="323">
        <f t="shared" si="0"/>
        <v>357</v>
      </c>
    </row>
    <row r="22" spans="1:17" ht="14.25">
      <c r="A22" s="423" t="s">
        <v>187</v>
      </c>
      <c r="B22" s="121" t="s">
        <v>172</v>
      </c>
      <c r="C22" s="455">
        <v>10</v>
      </c>
      <c r="D22" s="457" t="s">
        <v>173</v>
      </c>
      <c r="E22" s="324">
        <v>5</v>
      </c>
      <c r="F22" s="325">
        <v>17</v>
      </c>
      <c r="G22" s="325">
        <v>2</v>
      </c>
      <c r="H22" s="325">
        <v>0</v>
      </c>
      <c r="I22" s="325">
        <v>4</v>
      </c>
      <c r="J22" s="325">
        <v>1</v>
      </c>
      <c r="K22" s="325">
        <v>0</v>
      </c>
      <c r="L22" s="325">
        <v>0</v>
      </c>
      <c r="M22" s="325">
        <v>0</v>
      </c>
      <c r="N22" s="325">
        <v>15</v>
      </c>
      <c r="O22" s="325">
        <v>9</v>
      </c>
      <c r="P22" s="326">
        <v>13</v>
      </c>
      <c r="Q22" s="323">
        <f t="shared" si="0"/>
        <v>66</v>
      </c>
    </row>
    <row r="23" spans="1:17" ht="14.25">
      <c r="A23" s="423" t="s">
        <v>188</v>
      </c>
      <c r="B23" s="121" t="s">
        <v>175</v>
      </c>
      <c r="C23" s="455">
        <v>10</v>
      </c>
      <c r="D23" s="457" t="s">
        <v>176</v>
      </c>
      <c r="E23" s="324">
        <v>25.1</v>
      </c>
      <c r="F23" s="325">
        <v>18.1</v>
      </c>
      <c r="G23" s="325">
        <v>28.6</v>
      </c>
      <c r="H23" s="325">
        <v>30.6</v>
      </c>
      <c r="I23" s="325">
        <v>22.1</v>
      </c>
      <c r="J23" s="325">
        <v>5.6</v>
      </c>
      <c r="K23" s="325">
        <v>0</v>
      </c>
      <c r="L23" s="325">
        <v>0</v>
      </c>
      <c r="M23" s="325">
        <v>45.2</v>
      </c>
      <c r="N23" s="325">
        <v>27.1</v>
      </c>
      <c r="O23" s="325">
        <v>14.6</v>
      </c>
      <c r="P23" s="326">
        <v>30.6</v>
      </c>
      <c r="Q23" s="323">
        <f t="shared" si="0"/>
        <v>247.6</v>
      </c>
    </row>
    <row r="24" spans="1:17" ht="14.25">
      <c r="A24" s="423" t="s">
        <v>189</v>
      </c>
      <c r="B24" s="121" t="s">
        <v>190</v>
      </c>
      <c r="C24" s="455">
        <v>10</v>
      </c>
      <c r="D24" s="457" t="s">
        <v>176</v>
      </c>
      <c r="E24" s="324">
        <v>129.3</v>
      </c>
      <c r="F24" s="325">
        <v>177.3</v>
      </c>
      <c r="G24" s="325">
        <v>174.3</v>
      </c>
      <c r="H24" s="325">
        <v>132.3</v>
      </c>
      <c r="I24" s="325">
        <v>129.3</v>
      </c>
      <c r="J24" s="325">
        <v>112.9</v>
      </c>
      <c r="K24" s="325">
        <v>48</v>
      </c>
      <c r="L24" s="325">
        <v>57.2</v>
      </c>
      <c r="M24" s="325">
        <v>29.5</v>
      </c>
      <c r="N24" s="325">
        <v>78</v>
      </c>
      <c r="O24" s="325">
        <v>129.3</v>
      </c>
      <c r="P24" s="326">
        <v>114.3</v>
      </c>
      <c r="Q24" s="323">
        <f t="shared" si="0"/>
        <v>1311.6999999999998</v>
      </c>
    </row>
    <row r="25" spans="1:17" ht="14.25">
      <c r="A25" s="423" t="s">
        <v>191</v>
      </c>
      <c r="B25" s="121" t="s">
        <v>169</v>
      </c>
      <c r="C25" s="455">
        <v>10</v>
      </c>
      <c r="D25" s="458" t="s">
        <v>170</v>
      </c>
      <c r="E25" s="330">
        <v>129</v>
      </c>
      <c r="F25" s="327">
        <v>105.9</v>
      </c>
      <c r="G25" s="327">
        <v>128.9</v>
      </c>
      <c r="H25" s="327">
        <v>119.1</v>
      </c>
      <c r="I25" s="327">
        <v>59</v>
      </c>
      <c r="J25" s="327">
        <v>16</v>
      </c>
      <c r="K25" s="325">
        <v>0</v>
      </c>
      <c r="L25" s="325">
        <v>0</v>
      </c>
      <c r="M25" s="327">
        <v>26</v>
      </c>
      <c r="N25" s="327">
        <v>70.5</v>
      </c>
      <c r="O25" s="327">
        <v>36</v>
      </c>
      <c r="P25" s="328">
        <v>55</v>
      </c>
      <c r="Q25" s="329">
        <f t="shared" si="0"/>
        <v>745.4</v>
      </c>
    </row>
    <row r="26" spans="1:17" ht="14.25">
      <c r="A26" s="423" t="s">
        <v>192</v>
      </c>
      <c r="B26" s="121" t="s">
        <v>193</v>
      </c>
      <c r="C26" s="455">
        <v>10</v>
      </c>
      <c r="D26" s="458" t="s">
        <v>173</v>
      </c>
      <c r="E26" s="324">
        <v>0</v>
      </c>
      <c r="F26" s="327">
        <v>12</v>
      </c>
      <c r="G26" s="327">
        <v>26</v>
      </c>
      <c r="H26" s="327">
        <v>39</v>
      </c>
      <c r="I26" s="327">
        <v>77.5</v>
      </c>
      <c r="J26" s="327">
        <v>77.5</v>
      </c>
      <c r="K26" s="327">
        <v>58</v>
      </c>
      <c r="L26" s="327">
        <v>36</v>
      </c>
      <c r="M26" s="327">
        <v>8</v>
      </c>
      <c r="N26" s="325">
        <v>0</v>
      </c>
      <c r="O26" s="325">
        <v>0</v>
      </c>
      <c r="P26" s="326">
        <v>0</v>
      </c>
      <c r="Q26" s="329">
        <f t="shared" si="0"/>
        <v>334</v>
      </c>
    </row>
    <row r="27" spans="1:17" ht="14.25">
      <c r="A27" s="423" t="s">
        <v>194</v>
      </c>
      <c r="B27" s="121" t="s">
        <v>195</v>
      </c>
      <c r="C27" s="455">
        <v>10</v>
      </c>
      <c r="D27" s="458" t="s">
        <v>173</v>
      </c>
      <c r="E27" s="330">
        <f>5.9</f>
        <v>5.9</v>
      </c>
      <c r="F27" s="327">
        <f>5.9</f>
        <v>5.9</v>
      </c>
      <c r="G27" s="327">
        <f>7.9</f>
        <v>7.9</v>
      </c>
      <c r="H27" s="327">
        <f>10.9</f>
        <v>10.9</v>
      </c>
      <c r="I27" s="327">
        <f>27.9</f>
        <v>27.9</v>
      </c>
      <c r="J27" s="327">
        <f>24.9</f>
        <v>24.9</v>
      </c>
      <c r="K27" s="327">
        <f>26.9</f>
        <v>26.9</v>
      </c>
      <c r="L27" s="327">
        <f>38.4</f>
        <v>38.4</v>
      </c>
      <c r="M27" s="327">
        <f>28.9</f>
        <v>28.9</v>
      </c>
      <c r="N27" s="327">
        <f>15.4</f>
        <v>15.4</v>
      </c>
      <c r="O27" s="327">
        <f>8.9</f>
        <v>8.9</v>
      </c>
      <c r="P27" s="328">
        <f>5.9</f>
        <v>5.9</v>
      </c>
      <c r="Q27" s="329">
        <f t="shared" si="0"/>
        <v>207.80000000000004</v>
      </c>
    </row>
    <row r="28" spans="1:17" ht="14.25">
      <c r="A28" s="423" t="s">
        <v>196</v>
      </c>
      <c r="B28" s="121" t="s">
        <v>197</v>
      </c>
      <c r="C28" s="455">
        <v>10</v>
      </c>
      <c r="D28" s="458" t="s">
        <v>173</v>
      </c>
      <c r="E28" s="330">
        <v>181.7</v>
      </c>
      <c r="F28" s="327">
        <v>161.3</v>
      </c>
      <c r="G28" s="327">
        <v>102.79</v>
      </c>
      <c r="H28" s="327">
        <v>108</v>
      </c>
      <c r="I28" s="327">
        <v>135.9</v>
      </c>
      <c r="J28" s="327">
        <v>62</v>
      </c>
      <c r="K28" s="327">
        <v>9</v>
      </c>
      <c r="L28" s="327">
        <v>88.5</v>
      </c>
      <c r="M28" s="327">
        <v>109.5</v>
      </c>
      <c r="N28" s="327">
        <v>104.5</v>
      </c>
      <c r="O28" s="327">
        <v>112.2</v>
      </c>
      <c r="P28" s="328">
        <v>146.7</v>
      </c>
      <c r="Q28" s="329">
        <f t="shared" si="0"/>
        <v>1322.0900000000001</v>
      </c>
    </row>
    <row r="29" spans="1:17" ht="14.25">
      <c r="A29" s="423" t="s">
        <v>198</v>
      </c>
      <c r="B29" s="121" t="s">
        <v>199</v>
      </c>
      <c r="C29" s="455">
        <v>10</v>
      </c>
      <c r="D29" s="457" t="s">
        <v>176</v>
      </c>
      <c r="E29" s="324">
        <v>33</v>
      </c>
      <c r="F29" s="325">
        <v>34.8</v>
      </c>
      <c r="G29" s="325">
        <v>44.7</v>
      </c>
      <c r="H29" s="325">
        <v>34.2</v>
      </c>
      <c r="I29" s="325">
        <v>37</v>
      </c>
      <c r="J29" s="325">
        <v>16.4</v>
      </c>
      <c r="K29" s="325">
        <v>0</v>
      </c>
      <c r="L29" s="325">
        <v>0</v>
      </c>
      <c r="M29" s="325">
        <v>13.9</v>
      </c>
      <c r="N29" s="325">
        <v>35.75</v>
      </c>
      <c r="O29" s="325">
        <v>12.3</v>
      </c>
      <c r="P29" s="326">
        <v>21.2</v>
      </c>
      <c r="Q29" s="323">
        <f t="shared" si="0"/>
        <v>283.25</v>
      </c>
    </row>
    <row r="30" spans="1:17" ht="14.25">
      <c r="A30" s="423" t="s">
        <v>200</v>
      </c>
      <c r="B30" s="121" t="s">
        <v>190</v>
      </c>
      <c r="C30" s="455">
        <v>10</v>
      </c>
      <c r="D30" s="457" t="s">
        <v>176</v>
      </c>
      <c r="E30" s="324">
        <v>28.4</v>
      </c>
      <c r="F30" s="325">
        <v>26.8</v>
      </c>
      <c r="G30" s="325">
        <v>35.6</v>
      </c>
      <c r="H30" s="325">
        <v>23.6</v>
      </c>
      <c r="I30" s="325">
        <v>28.5</v>
      </c>
      <c r="J30" s="325">
        <v>32.3</v>
      </c>
      <c r="K30" s="325">
        <v>36</v>
      </c>
      <c r="L30" s="325">
        <v>28.3</v>
      </c>
      <c r="M30" s="325">
        <v>24</v>
      </c>
      <c r="N30" s="325">
        <v>15.2</v>
      </c>
      <c r="O30" s="325">
        <v>8.8</v>
      </c>
      <c r="P30" s="326">
        <v>32.5</v>
      </c>
      <c r="Q30" s="323">
        <f t="shared" si="0"/>
        <v>320</v>
      </c>
    </row>
    <row r="31" spans="1:17" ht="14.25">
      <c r="A31" s="423" t="s">
        <v>201</v>
      </c>
      <c r="B31" s="121" t="s">
        <v>172</v>
      </c>
      <c r="C31" s="455">
        <v>10</v>
      </c>
      <c r="D31" s="457" t="s">
        <v>173</v>
      </c>
      <c r="E31" s="324">
        <v>152.5</v>
      </c>
      <c r="F31" s="325">
        <v>152</v>
      </c>
      <c r="G31" s="325">
        <v>221.5</v>
      </c>
      <c r="H31" s="325">
        <v>348</v>
      </c>
      <c r="I31" s="325">
        <v>281.5</v>
      </c>
      <c r="J31" s="325">
        <v>226</v>
      </c>
      <c r="K31" s="325">
        <v>8</v>
      </c>
      <c r="L31" s="325">
        <v>0</v>
      </c>
      <c r="M31" s="325">
        <v>28.5</v>
      </c>
      <c r="N31" s="325">
        <v>23</v>
      </c>
      <c r="O31" s="325">
        <v>51</v>
      </c>
      <c r="P31" s="326">
        <v>63.5</v>
      </c>
      <c r="Q31" s="323">
        <f t="shared" si="0"/>
        <v>1555.5</v>
      </c>
    </row>
    <row r="32" spans="1:17" ht="14.25">
      <c r="A32" s="423" t="s">
        <v>203</v>
      </c>
      <c r="B32" s="121" t="s">
        <v>175</v>
      </c>
      <c r="C32" s="455">
        <v>10</v>
      </c>
      <c r="D32" s="457" t="s">
        <v>176</v>
      </c>
      <c r="E32" s="324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0</v>
      </c>
      <c r="K32" s="325">
        <v>0</v>
      </c>
      <c r="L32" s="325">
        <v>11.7</v>
      </c>
      <c r="M32" s="325">
        <v>18.3</v>
      </c>
      <c r="N32" s="325">
        <v>78.2</v>
      </c>
      <c r="O32" s="325">
        <v>36</v>
      </c>
      <c r="P32" s="326">
        <v>18</v>
      </c>
      <c r="Q32" s="323">
        <f t="shared" si="0"/>
        <v>162.2</v>
      </c>
    </row>
    <row r="33" spans="1:17" ht="14.25">
      <c r="A33" s="423" t="s">
        <v>204</v>
      </c>
      <c r="B33" s="121" t="s">
        <v>175</v>
      </c>
      <c r="C33" s="455">
        <v>10</v>
      </c>
      <c r="D33" s="458" t="s">
        <v>176</v>
      </c>
      <c r="E33" s="330">
        <v>1.5</v>
      </c>
      <c r="F33" s="327">
        <v>33.26</v>
      </c>
      <c r="G33" s="327">
        <v>32.74</v>
      </c>
      <c r="H33" s="325">
        <v>0</v>
      </c>
      <c r="I33" s="325">
        <v>0</v>
      </c>
      <c r="J33" s="325">
        <v>0</v>
      </c>
      <c r="K33" s="325">
        <v>0</v>
      </c>
      <c r="L33" s="327">
        <v>7.25</v>
      </c>
      <c r="M33" s="327">
        <v>24.45</v>
      </c>
      <c r="N33" s="327">
        <v>8.1</v>
      </c>
      <c r="O33" s="327">
        <v>5.2</v>
      </c>
      <c r="P33" s="326">
        <v>0</v>
      </c>
      <c r="Q33" s="329">
        <f t="shared" si="0"/>
        <v>112.5</v>
      </c>
    </row>
    <row r="34" spans="1:18" ht="14.25">
      <c r="A34" s="423" t="s">
        <v>204</v>
      </c>
      <c r="B34" s="121" t="s">
        <v>350</v>
      </c>
      <c r="C34" s="455">
        <v>10</v>
      </c>
      <c r="D34" s="458" t="s">
        <v>1</v>
      </c>
      <c r="E34" s="312">
        <v>0</v>
      </c>
      <c r="F34" s="101">
        <v>0</v>
      </c>
      <c r="G34" s="101">
        <v>2</v>
      </c>
      <c r="H34" s="101">
        <v>8</v>
      </c>
      <c r="I34" s="101">
        <v>8</v>
      </c>
      <c r="J34" s="101">
        <v>26.3</v>
      </c>
      <c r="K34" s="101">
        <v>2.5</v>
      </c>
      <c r="L34" s="101">
        <v>1</v>
      </c>
      <c r="M34" s="101">
        <v>2.3</v>
      </c>
      <c r="N34" s="101">
        <v>0</v>
      </c>
      <c r="O34" s="101">
        <v>58.25</v>
      </c>
      <c r="P34" s="313">
        <v>0</v>
      </c>
      <c r="Q34" s="329">
        <f>SUM(E34:P34)</f>
        <v>108.35</v>
      </c>
      <c r="R34" s="13" t="s">
        <v>348</v>
      </c>
    </row>
    <row r="35" spans="1:17" ht="14.25">
      <c r="A35" s="423" t="s">
        <v>205</v>
      </c>
      <c r="B35" s="122" t="s">
        <v>206</v>
      </c>
      <c r="C35" s="455">
        <v>10</v>
      </c>
      <c r="D35" s="458" t="s">
        <v>207</v>
      </c>
      <c r="E35" s="324">
        <v>0</v>
      </c>
      <c r="F35" s="325">
        <v>0</v>
      </c>
      <c r="G35" s="325">
        <v>0</v>
      </c>
      <c r="H35" s="327">
        <v>133.7</v>
      </c>
      <c r="I35" s="325">
        <v>0</v>
      </c>
      <c r="J35" s="325">
        <v>0</v>
      </c>
      <c r="K35" s="327">
        <v>2</v>
      </c>
      <c r="L35" s="325">
        <v>0</v>
      </c>
      <c r="M35" s="327">
        <v>26</v>
      </c>
      <c r="N35" s="327">
        <v>21</v>
      </c>
      <c r="O35" s="327">
        <v>7</v>
      </c>
      <c r="P35" s="328">
        <v>4</v>
      </c>
      <c r="Q35" s="329">
        <f t="shared" si="0"/>
        <v>193.7</v>
      </c>
    </row>
    <row r="36" spans="1:17" ht="15.75" customHeight="1">
      <c r="A36" s="423" t="s">
        <v>208</v>
      </c>
      <c r="B36" s="452" t="s">
        <v>209</v>
      </c>
      <c r="C36" s="455">
        <v>10</v>
      </c>
      <c r="D36" s="458" t="s">
        <v>176</v>
      </c>
      <c r="E36" s="330">
        <v>2.4</v>
      </c>
      <c r="F36" s="327">
        <v>165.2</v>
      </c>
      <c r="G36" s="327">
        <v>109.2</v>
      </c>
      <c r="H36" s="325">
        <v>0</v>
      </c>
      <c r="I36" s="325">
        <v>0</v>
      </c>
      <c r="J36" s="325">
        <v>0</v>
      </c>
      <c r="K36" s="325">
        <v>0</v>
      </c>
      <c r="L36" s="325">
        <v>0</v>
      </c>
      <c r="M36" s="327">
        <v>2</v>
      </c>
      <c r="N36" s="327">
        <v>47.2</v>
      </c>
      <c r="O36" s="327">
        <v>8.4</v>
      </c>
      <c r="P36" s="328">
        <v>2.2</v>
      </c>
      <c r="Q36" s="329">
        <f t="shared" si="0"/>
        <v>336.59999999999997</v>
      </c>
    </row>
    <row r="37" spans="1:17" ht="14.25">
      <c r="A37" s="423" t="s">
        <v>205</v>
      </c>
      <c r="B37" s="121" t="s">
        <v>125</v>
      </c>
      <c r="C37" s="455">
        <v>10</v>
      </c>
      <c r="D37" s="458" t="s">
        <v>173</v>
      </c>
      <c r="E37" s="324">
        <v>0</v>
      </c>
      <c r="F37" s="325">
        <v>0</v>
      </c>
      <c r="G37" s="325">
        <v>0</v>
      </c>
      <c r="H37" s="327">
        <v>133.7</v>
      </c>
      <c r="I37" s="325">
        <v>0</v>
      </c>
      <c r="J37" s="325">
        <v>0</v>
      </c>
      <c r="K37" s="327">
        <v>5</v>
      </c>
      <c r="L37" s="325">
        <v>0</v>
      </c>
      <c r="M37" s="327">
        <v>26</v>
      </c>
      <c r="N37" s="327">
        <v>20</v>
      </c>
      <c r="O37" s="327">
        <v>7</v>
      </c>
      <c r="P37" s="328">
        <v>3</v>
      </c>
      <c r="Q37" s="329">
        <f t="shared" si="0"/>
        <v>194.7</v>
      </c>
    </row>
    <row r="38" spans="1:17" ht="14.25">
      <c r="A38" s="423" t="s">
        <v>210</v>
      </c>
      <c r="B38" s="121" t="s">
        <v>169</v>
      </c>
      <c r="C38" s="455">
        <v>10</v>
      </c>
      <c r="D38" s="457" t="s">
        <v>170</v>
      </c>
      <c r="E38" s="324">
        <v>18</v>
      </c>
      <c r="F38" s="325">
        <v>132</v>
      </c>
      <c r="G38" s="325">
        <v>0</v>
      </c>
      <c r="H38" s="325">
        <v>0</v>
      </c>
      <c r="I38" s="325">
        <v>0</v>
      </c>
      <c r="J38" s="325">
        <v>0</v>
      </c>
      <c r="K38" s="325">
        <v>0</v>
      </c>
      <c r="L38" s="325">
        <v>0</v>
      </c>
      <c r="M38" s="325">
        <v>0</v>
      </c>
      <c r="N38" s="325">
        <v>0</v>
      </c>
      <c r="O38" s="325">
        <v>16</v>
      </c>
      <c r="P38" s="326">
        <v>46</v>
      </c>
      <c r="Q38" s="323">
        <f t="shared" si="0"/>
        <v>212</v>
      </c>
    </row>
    <row r="39" spans="1:17" ht="14.25">
      <c r="A39" s="423" t="s">
        <v>211</v>
      </c>
      <c r="B39" s="121" t="s">
        <v>212</v>
      </c>
      <c r="C39" s="455">
        <v>10</v>
      </c>
      <c r="D39" s="457" t="s">
        <v>173</v>
      </c>
      <c r="E39" s="324">
        <v>0</v>
      </c>
      <c r="F39" s="325">
        <v>16</v>
      </c>
      <c r="G39" s="325">
        <v>16</v>
      </c>
      <c r="H39" s="325">
        <v>16</v>
      </c>
      <c r="I39" s="325">
        <v>24.3</v>
      </c>
      <c r="J39" s="325">
        <v>7.3</v>
      </c>
      <c r="K39" s="325">
        <v>8.3</v>
      </c>
      <c r="L39" s="325">
        <v>7</v>
      </c>
      <c r="M39" s="325">
        <v>6</v>
      </c>
      <c r="N39" s="325">
        <v>6</v>
      </c>
      <c r="O39" s="325">
        <v>14</v>
      </c>
      <c r="P39" s="326">
        <v>142.5</v>
      </c>
      <c r="Q39" s="323">
        <f t="shared" si="0"/>
        <v>263.4</v>
      </c>
    </row>
    <row r="40" spans="1:17" ht="14.25">
      <c r="A40" s="423" t="s">
        <v>213</v>
      </c>
      <c r="B40" s="121" t="s">
        <v>214</v>
      </c>
      <c r="C40" s="455">
        <v>10</v>
      </c>
      <c r="D40" s="457" t="s">
        <v>176</v>
      </c>
      <c r="E40" s="324">
        <v>0</v>
      </c>
      <c r="F40" s="325">
        <v>182</v>
      </c>
      <c r="G40" s="325">
        <v>0</v>
      </c>
      <c r="H40" s="325">
        <v>0</v>
      </c>
      <c r="I40" s="325">
        <v>1.5</v>
      </c>
      <c r="J40" s="325">
        <v>0</v>
      </c>
      <c r="K40" s="325">
        <v>0</v>
      </c>
      <c r="L40" s="325">
        <v>2</v>
      </c>
      <c r="M40" s="325">
        <v>5</v>
      </c>
      <c r="N40" s="325">
        <v>12</v>
      </c>
      <c r="O40" s="325">
        <v>65</v>
      </c>
      <c r="P40" s="326">
        <v>1</v>
      </c>
      <c r="Q40" s="323">
        <f aca="true" t="shared" si="1" ref="Q40:Q71">SUM(E40:P40)</f>
        <v>268.5</v>
      </c>
    </row>
    <row r="41" spans="1:17" ht="14.25">
      <c r="A41" s="423" t="s">
        <v>215</v>
      </c>
      <c r="B41" s="121" t="s">
        <v>125</v>
      </c>
      <c r="C41" s="455">
        <v>10</v>
      </c>
      <c r="D41" s="457" t="s">
        <v>173</v>
      </c>
      <c r="E41" s="324">
        <v>0</v>
      </c>
      <c r="F41" s="325">
        <v>110</v>
      </c>
      <c r="G41" s="325">
        <v>0</v>
      </c>
      <c r="H41" s="325">
        <v>0</v>
      </c>
      <c r="I41" s="325">
        <v>0</v>
      </c>
      <c r="J41" s="325">
        <v>0</v>
      </c>
      <c r="K41" s="325">
        <v>2</v>
      </c>
      <c r="L41" s="325">
        <v>0</v>
      </c>
      <c r="M41" s="325">
        <v>5.5</v>
      </c>
      <c r="N41" s="325">
        <v>12</v>
      </c>
      <c r="O41" s="325">
        <v>65</v>
      </c>
      <c r="P41" s="326">
        <v>1</v>
      </c>
      <c r="Q41" s="323">
        <f t="shared" si="1"/>
        <v>195.5</v>
      </c>
    </row>
    <row r="42" spans="1:17" ht="14.25">
      <c r="A42" s="423" t="s">
        <v>216</v>
      </c>
      <c r="B42" s="121" t="s">
        <v>217</v>
      </c>
      <c r="C42" s="455">
        <v>10</v>
      </c>
      <c r="D42" s="457" t="s">
        <v>202</v>
      </c>
      <c r="E42" s="324">
        <v>0</v>
      </c>
      <c r="F42" s="325">
        <v>0</v>
      </c>
      <c r="G42" s="325">
        <v>0</v>
      </c>
      <c r="H42" s="325">
        <v>0</v>
      </c>
      <c r="I42" s="325">
        <v>0</v>
      </c>
      <c r="J42" s="325">
        <v>0</v>
      </c>
      <c r="K42" s="325">
        <v>3</v>
      </c>
      <c r="L42" s="325">
        <v>28</v>
      </c>
      <c r="M42" s="325">
        <v>35</v>
      </c>
      <c r="N42" s="325">
        <v>33</v>
      </c>
      <c r="O42" s="325">
        <v>0</v>
      </c>
      <c r="P42" s="326">
        <v>184</v>
      </c>
      <c r="Q42" s="323">
        <f t="shared" si="1"/>
        <v>283</v>
      </c>
    </row>
    <row r="43" spans="1:17" ht="14.25">
      <c r="A43" s="423" t="s">
        <v>218</v>
      </c>
      <c r="B43" s="121" t="s">
        <v>219</v>
      </c>
      <c r="C43" s="455">
        <v>10</v>
      </c>
      <c r="D43" s="457" t="s">
        <v>220</v>
      </c>
      <c r="E43" s="324">
        <v>0</v>
      </c>
      <c r="F43" s="325">
        <v>25</v>
      </c>
      <c r="G43" s="325">
        <v>0</v>
      </c>
      <c r="H43" s="325">
        <v>0.5</v>
      </c>
      <c r="I43" s="325">
        <v>1</v>
      </c>
      <c r="J43" s="325">
        <v>0</v>
      </c>
      <c r="K43" s="325">
        <v>1</v>
      </c>
      <c r="L43" s="325">
        <v>0</v>
      </c>
      <c r="M43" s="325">
        <v>0</v>
      </c>
      <c r="N43" s="325">
        <v>0</v>
      </c>
      <c r="O43" s="325">
        <v>8.6</v>
      </c>
      <c r="P43" s="326">
        <v>0</v>
      </c>
      <c r="Q43" s="323">
        <f t="shared" si="1"/>
        <v>36.1</v>
      </c>
    </row>
    <row r="44" spans="1:17" ht="14.25">
      <c r="A44" s="423" t="s">
        <v>221</v>
      </c>
      <c r="B44" s="121" t="s">
        <v>222</v>
      </c>
      <c r="C44" s="455">
        <v>10</v>
      </c>
      <c r="D44" s="458" t="s">
        <v>220</v>
      </c>
      <c r="E44" s="330">
        <v>23.8</v>
      </c>
      <c r="F44" s="327">
        <v>26</v>
      </c>
      <c r="G44" s="327">
        <v>27.5</v>
      </c>
      <c r="H44" s="327">
        <v>51</v>
      </c>
      <c r="I44" s="327">
        <v>56.4</v>
      </c>
      <c r="J44" s="327">
        <v>49.6</v>
      </c>
      <c r="K44" s="327">
        <v>56.6</v>
      </c>
      <c r="L44" s="327">
        <v>36.7</v>
      </c>
      <c r="M44" s="327">
        <v>56.6</v>
      </c>
      <c r="N44" s="327">
        <v>70.9</v>
      </c>
      <c r="O44" s="327">
        <v>66</v>
      </c>
      <c r="P44" s="328">
        <v>25.8</v>
      </c>
      <c r="Q44" s="329">
        <f t="shared" si="1"/>
        <v>546.9</v>
      </c>
    </row>
    <row r="45" spans="1:17" ht="14.25">
      <c r="A45" s="423" t="s">
        <v>223</v>
      </c>
      <c r="B45" s="121" t="s">
        <v>222</v>
      </c>
      <c r="C45" s="455">
        <v>10</v>
      </c>
      <c r="D45" s="458" t="s">
        <v>220</v>
      </c>
      <c r="E45" s="330">
        <v>15.7</v>
      </c>
      <c r="F45" s="327">
        <v>175.7</v>
      </c>
      <c r="G45" s="327">
        <v>175.7</v>
      </c>
      <c r="H45" s="327">
        <v>16.6</v>
      </c>
      <c r="I45" s="327">
        <v>28.3</v>
      </c>
      <c r="J45" s="327">
        <v>28.3</v>
      </c>
      <c r="K45" s="327">
        <v>58.6</v>
      </c>
      <c r="L45" s="327">
        <v>58.67</v>
      </c>
      <c r="M45" s="327">
        <v>63.7</v>
      </c>
      <c r="N45" s="327">
        <v>63.4</v>
      </c>
      <c r="O45" s="327">
        <v>16.6</v>
      </c>
      <c r="P45" s="328">
        <v>16.6</v>
      </c>
      <c r="Q45" s="329">
        <f t="shared" si="1"/>
        <v>717.8700000000001</v>
      </c>
    </row>
    <row r="46" spans="1:17" ht="14.25">
      <c r="A46" s="423" t="s">
        <v>224</v>
      </c>
      <c r="B46" s="121" t="s">
        <v>225</v>
      </c>
      <c r="C46" s="455">
        <v>10</v>
      </c>
      <c r="D46" s="458" t="s">
        <v>173</v>
      </c>
      <c r="E46" s="330">
        <v>128.5</v>
      </c>
      <c r="F46" s="327">
        <v>36.5</v>
      </c>
      <c r="G46" s="327">
        <v>21.5</v>
      </c>
      <c r="H46" s="327">
        <v>145</v>
      </c>
      <c r="I46" s="327">
        <v>18.1</v>
      </c>
      <c r="J46" s="327">
        <v>20</v>
      </c>
      <c r="K46" s="327">
        <v>6.5</v>
      </c>
      <c r="L46" s="327">
        <v>69</v>
      </c>
      <c r="M46" s="327">
        <v>39</v>
      </c>
      <c r="N46" s="327">
        <v>29.5</v>
      </c>
      <c r="O46" s="327">
        <v>21.5</v>
      </c>
      <c r="P46" s="328">
        <v>38.5</v>
      </c>
      <c r="Q46" s="329">
        <f t="shared" si="1"/>
        <v>573.6</v>
      </c>
    </row>
    <row r="47" spans="1:17" ht="14.25">
      <c r="A47" s="423" t="s">
        <v>226</v>
      </c>
      <c r="B47" s="121" t="s">
        <v>227</v>
      </c>
      <c r="C47" s="455">
        <v>10</v>
      </c>
      <c r="D47" s="458" t="s">
        <v>202</v>
      </c>
      <c r="E47" s="330">
        <v>44</v>
      </c>
      <c r="F47" s="327">
        <v>78</v>
      </c>
      <c r="G47" s="327">
        <v>9</v>
      </c>
      <c r="H47" s="327">
        <v>11</v>
      </c>
      <c r="I47" s="327">
        <v>21</v>
      </c>
      <c r="J47" s="327">
        <v>17</v>
      </c>
      <c r="K47" s="327">
        <v>18</v>
      </c>
      <c r="L47" s="327">
        <v>18</v>
      </c>
      <c r="M47" s="327">
        <v>14</v>
      </c>
      <c r="N47" s="325">
        <v>0</v>
      </c>
      <c r="O47" s="325">
        <v>0</v>
      </c>
      <c r="P47" s="328">
        <v>8</v>
      </c>
      <c r="Q47" s="329">
        <f t="shared" si="1"/>
        <v>238</v>
      </c>
    </row>
    <row r="48" spans="1:17" ht="14.25">
      <c r="A48" s="423" t="s">
        <v>228</v>
      </c>
      <c r="B48" s="121" t="s">
        <v>190</v>
      </c>
      <c r="C48" s="455">
        <v>10</v>
      </c>
      <c r="D48" s="457" t="s">
        <v>176</v>
      </c>
      <c r="E48" s="324">
        <v>11.7</v>
      </c>
      <c r="F48" s="325">
        <v>11.2</v>
      </c>
      <c r="G48" s="325">
        <v>12.25</v>
      </c>
      <c r="H48" s="325">
        <v>36.85</v>
      </c>
      <c r="I48" s="325">
        <v>29.2</v>
      </c>
      <c r="J48" s="325">
        <v>20.2</v>
      </c>
      <c r="K48" s="325">
        <v>12.4</v>
      </c>
      <c r="L48" s="325">
        <v>16</v>
      </c>
      <c r="M48" s="325">
        <v>31.95</v>
      </c>
      <c r="N48" s="325">
        <v>31.5</v>
      </c>
      <c r="O48" s="325">
        <v>29.25</v>
      </c>
      <c r="P48" s="326">
        <v>12.1</v>
      </c>
      <c r="Q48" s="323">
        <f t="shared" si="1"/>
        <v>254.6</v>
      </c>
    </row>
    <row r="49" spans="1:17" ht="14.25">
      <c r="A49" s="423" t="s">
        <v>229</v>
      </c>
      <c r="B49" s="121" t="s">
        <v>169</v>
      </c>
      <c r="C49" s="455">
        <v>10</v>
      </c>
      <c r="D49" s="457" t="s">
        <v>170</v>
      </c>
      <c r="E49" s="324">
        <v>13</v>
      </c>
      <c r="F49" s="325">
        <v>86</v>
      </c>
      <c r="G49" s="325">
        <v>173</v>
      </c>
      <c r="H49" s="325">
        <v>111.6</v>
      </c>
      <c r="I49" s="325">
        <v>29.7</v>
      </c>
      <c r="J49" s="325">
        <v>31</v>
      </c>
      <c r="K49" s="325">
        <v>116</v>
      </c>
      <c r="L49" s="325">
        <v>160.3</v>
      </c>
      <c r="M49" s="325">
        <v>79.7</v>
      </c>
      <c r="N49" s="325">
        <v>86</v>
      </c>
      <c r="O49" s="325">
        <v>11</v>
      </c>
      <c r="P49" s="326">
        <v>327.3</v>
      </c>
      <c r="Q49" s="323">
        <f t="shared" si="1"/>
        <v>1224.6</v>
      </c>
    </row>
    <row r="50" spans="1:17" ht="14.25">
      <c r="A50" s="423" t="s">
        <v>230</v>
      </c>
      <c r="B50" s="121" t="s">
        <v>172</v>
      </c>
      <c r="C50" s="455">
        <v>10</v>
      </c>
      <c r="D50" s="457" t="s">
        <v>173</v>
      </c>
      <c r="E50" s="324">
        <v>33.3</v>
      </c>
      <c r="F50" s="325">
        <v>90.3</v>
      </c>
      <c r="G50" s="325">
        <v>181</v>
      </c>
      <c r="H50" s="325">
        <v>0</v>
      </c>
      <c r="I50" s="325">
        <v>0</v>
      </c>
      <c r="J50" s="325">
        <v>0</v>
      </c>
      <c r="K50" s="325">
        <v>16</v>
      </c>
      <c r="L50" s="325">
        <v>66</v>
      </c>
      <c r="M50" s="325">
        <v>164.2</v>
      </c>
      <c r="N50" s="325">
        <v>13.3</v>
      </c>
      <c r="O50" s="325">
        <v>13.3</v>
      </c>
      <c r="P50" s="326">
        <v>161.3</v>
      </c>
      <c r="Q50" s="323">
        <f t="shared" si="1"/>
        <v>738.6999999999998</v>
      </c>
    </row>
    <row r="51" spans="1:17" ht="14.25">
      <c r="A51" s="423" t="s">
        <v>231</v>
      </c>
      <c r="B51" s="121" t="s">
        <v>232</v>
      </c>
      <c r="C51" s="455">
        <v>10</v>
      </c>
      <c r="D51" s="457" t="s">
        <v>173</v>
      </c>
      <c r="E51" s="324">
        <v>31.5</v>
      </c>
      <c r="F51" s="325">
        <v>29</v>
      </c>
      <c r="G51" s="325">
        <v>160.5</v>
      </c>
      <c r="H51" s="325">
        <v>0</v>
      </c>
      <c r="I51" s="325">
        <v>21</v>
      </c>
      <c r="J51" s="325">
        <v>23</v>
      </c>
      <c r="K51" s="325">
        <v>19.7</v>
      </c>
      <c r="L51" s="325">
        <v>29.6</v>
      </c>
      <c r="M51" s="325">
        <v>15</v>
      </c>
      <c r="N51" s="325">
        <v>110.7</v>
      </c>
      <c r="O51" s="325">
        <v>72</v>
      </c>
      <c r="P51" s="326">
        <v>24</v>
      </c>
      <c r="Q51" s="323">
        <f t="shared" si="1"/>
        <v>536</v>
      </c>
    </row>
    <row r="52" spans="1:17" ht="14.25">
      <c r="A52" s="423" t="s">
        <v>233</v>
      </c>
      <c r="B52" s="121" t="s">
        <v>232</v>
      </c>
      <c r="C52" s="455">
        <v>10</v>
      </c>
      <c r="D52" s="458" t="s">
        <v>234</v>
      </c>
      <c r="E52" s="330">
        <v>31.5</v>
      </c>
      <c r="F52" s="327">
        <v>277</v>
      </c>
      <c r="G52" s="327">
        <v>264.1</v>
      </c>
      <c r="H52" s="325">
        <v>0</v>
      </c>
      <c r="I52" s="327">
        <v>21</v>
      </c>
      <c r="J52" s="327">
        <v>22.5</v>
      </c>
      <c r="K52" s="327">
        <v>19.7</v>
      </c>
      <c r="L52" s="327">
        <v>29.6</v>
      </c>
      <c r="M52" s="327">
        <v>16.2</v>
      </c>
      <c r="N52" s="327">
        <v>110.7</v>
      </c>
      <c r="O52" s="327">
        <v>74</v>
      </c>
      <c r="P52" s="328">
        <v>24</v>
      </c>
      <c r="Q52" s="329">
        <f t="shared" si="1"/>
        <v>890.3000000000002</v>
      </c>
    </row>
    <row r="53" spans="1:17" ht="14.25">
      <c r="A53" s="423" t="s">
        <v>233</v>
      </c>
      <c r="B53" s="121" t="s">
        <v>172</v>
      </c>
      <c r="C53" s="455">
        <v>10</v>
      </c>
      <c r="D53" s="458" t="s">
        <v>234</v>
      </c>
      <c r="E53" s="330">
        <v>32</v>
      </c>
      <c r="F53" s="327">
        <v>280</v>
      </c>
      <c r="G53" s="327">
        <v>308</v>
      </c>
      <c r="H53" s="325">
        <v>0</v>
      </c>
      <c r="I53" s="327">
        <v>43</v>
      </c>
      <c r="J53" s="327">
        <v>18</v>
      </c>
      <c r="K53" s="327">
        <v>15.2</v>
      </c>
      <c r="L53" s="327">
        <v>25.5</v>
      </c>
      <c r="M53" s="327">
        <v>16.8</v>
      </c>
      <c r="N53" s="327">
        <v>137.3</v>
      </c>
      <c r="O53" s="327">
        <v>85.6</v>
      </c>
      <c r="P53" s="328">
        <v>33</v>
      </c>
      <c r="Q53" s="329">
        <f t="shared" si="1"/>
        <v>994.4</v>
      </c>
    </row>
    <row r="54" spans="1:17" ht="14.25">
      <c r="A54" s="423" t="s">
        <v>233</v>
      </c>
      <c r="B54" s="121" t="s">
        <v>180</v>
      </c>
      <c r="C54" s="455">
        <v>10</v>
      </c>
      <c r="D54" s="458" t="s">
        <v>234</v>
      </c>
      <c r="E54" s="330">
        <v>32</v>
      </c>
      <c r="F54" s="327">
        <v>114.6</v>
      </c>
      <c r="G54" s="327">
        <v>208</v>
      </c>
      <c r="H54" s="325">
        <v>0</v>
      </c>
      <c r="I54" s="327">
        <v>43</v>
      </c>
      <c r="J54" s="327">
        <v>18</v>
      </c>
      <c r="K54" s="327">
        <v>15.2</v>
      </c>
      <c r="L54" s="327">
        <v>25.5</v>
      </c>
      <c r="M54" s="327">
        <v>16.8</v>
      </c>
      <c r="N54" s="327">
        <v>145.1</v>
      </c>
      <c r="O54" s="327">
        <v>85.6</v>
      </c>
      <c r="P54" s="328">
        <v>33</v>
      </c>
      <c r="Q54" s="329">
        <f t="shared" si="1"/>
        <v>736.8000000000001</v>
      </c>
    </row>
    <row r="55" spans="1:17" ht="14.25">
      <c r="A55" s="423" t="s">
        <v>235</v>
      </c>
      <c r="B55" s="121" t="s">
        <v>197</v>
      </c>
      <c r="C55" s="455">
        <v>10</v>
      </c>
      <c r="D55" s="458" t="s">
        <v>234</v>
      </c>
      <c r="E55" s="330">
        <v>141.5</v>
      </c>
      <c r="F55" s="327">
        <v>130.5</v>
      </c>
      <c r="G55" s="327">
        <v>123</v>
      </c>
      <c r="H55" s="327">
        <v>117</v>
      </c>
      <c r="I55" s="327">
        <v>127.5</v>
      </c>
      <c r="J55" s="327">
        <v>186</v>
      </c>
      <c r="K55" s="327">
        <v>105</v>
      </c>
      <c r="L55" s="327">
        <v>84</v>
      </c>
      <c r="M55" s="327">
        <v>95.5</v>
      </c>
      <c r="N55" s="327">
        <v>111</v>
      </c>
      <c r="O55" s="327">
        <v>182</v>
      </c>
      <c r="P55" s="328">
        <v>195</v>
      </c>
      <c r="Q55" s="329">
        <f t="shared" si="1"/>
        <v>1598</v>
      </c>
    </row>
    <row r="56" spans="1:17" ht="14.25">
      <c r="A56" s="423" t="s">
        <v>236</v>
      </c>
      <c r="B56" s="121" t="s">
        <v>232</v>
      </c>
      <c r="C56" s="455">
        <v>10</v>
      </c>
      <c r="D56" s="457" t="s">
        <v>234</v>
      </c>
      <c r="E56" s="324">
        <v>114.3</v>
      </c>
      <c r="F56" s="325">
        <v>92.3</v>
      </c>
      <c r="G56" s="325">
        <v>100.5</v>
      </c>
      <c r="H56" s="325">
        <v>99.4</v>
      </c>
      <c r="I56" s="325">
        <v>119.1</v>
      </c>
      <c r="J56" s="325">
        <v>130.3</v>
      </c>
      <c r="K56" s="325">
        <v>130.6</v>
      </c>
      <c r="L56" s="325">
        <v>142.9</v>
      </c>
      <c r="M56" s="325">
        <v>148.6</v>
      </c>
      <c r="N56" s="325">
        <v>175.1</v>
      </c>
      <c r="O56" s="325">
        <v>139</v>
      </c>
      <c r="P56" s="326">
        <v>137.9</v>
      </c>
      <c r="Q56" s="323">
        <f t="shared" si="1"/>
        <v>1530</v>
      </c>
    </row>
    <row r="57" spans="1:17" ht="14.25">
      <c r="A57" s="423" t="s">
        <v>237</v>
      </c>
      <c r="B57" s="121" t="s">
        <v>169</v>
      </c>
      <c r="C57" s="455">
        <v>10</v>
      </c>
      <c r="D57" s="457" t="s">
        <v>170</v>
      </c>
      <c r="E57" s="324">
        <v>108</v>
      </c>
      <c r="F57" s="325">
        <v>86.4</v>
      </c>
      <c r="G57" s="325">
        <v>132</v>
      </c>
      <c r="H57" s="325">
        <v>38.4</v>
      </c>
      <c r="I57" s="325">
        <v>31.2</v>
      </c>
      <c r="J57" s="325">
        <v>33.6</v>
      </c>
      <c r="K57" s="325">
        <v>57.6</v>
      </c>
      <c r="L57" s="325">
        <v>50.4</v>
      </c>
      <c r="M57" s="325">
        <v>72</v>
      </c>
      <c r="N57" s="325">
        <v>57.6</v>
      </c>
      <c r="O57" s="325">
        <v>240</v>
      </c>
      <c r="P57" s="326">
        <v>104</v>
      </c>
      <c r="Q57" s="323">
        <f t="shared" si="1"/>
        <v>1011.2</v>
      </c>
    </row>
    <row r="58" spans="1:17" ht="14.25">
      <c r="A58" s="423" t="s">
        <v>238</v>
      </c>
      <c r="B58" s="121" t="s">
        <v>239</v>
      </c>
      <c r="C58" s="455"/>
      <c r="D58" s="457" t="s">
        <v>240</v>
      </c>
      <c r="E58" s="324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6"/>
      <c r="Q58" s="323">
        <f t="shared" si="1"/>
        <v>0</v>
      </c>
    </row>
    <row r="59" spans="1:17" ht="14.25">
      <c r="A59" s="423" t="s">
        <v>241</v>
      </c>
      <c r="B59" s="121" t="s">
        <v>125</v>
      </c>
      <c r="C59" s="455">
        <v>10</v>
      </c>
      <c r="D59" s="457" t="s">
        <v>234</v>
      </c>
      <c r="E59" s="331">
        <v>22</v>
      </c>
      <c r="F59" s="332">
        <v>31</v>
      </c>
      <c r="G59" s="325">
        <v>66.6</v>
      </c>
      <c r="H59" s="325">
        <v>43.5</v>
      </c>
      <c r="I59" s="332">
        <v>106.4</v>
      </c>
      <c r="J59" s="332">
        <v>106.4</v>
      </c>
      <c r="K59" s="325">
        <v>105.9</v>
      </c>
      <c r="L59" s="332">
        <v>113.9</v>
      </c>
      <c r="M59" s="332">
        <v>92.4</v>
      </c>
      <c r="N59" s="325">
        <v>67.8</v>
      </c>
      <c r="O59" s="332">
        <v>36.5</v>
      </c>
      <c r="P59" s="333">
        <v>28</v>
      </c>
      <c r="Q59" s="334">
        <f t="shared" si="1"/>
        <v>820.3999999999999</v>
      </c>
    </row>
    <row r="60" spans="1:17" ht="14.25">
      <c r="A60" s="423" t="s">
        <v>242</v>
      </c>
      <c r="B60" s="121" t="s">
        <v>212</v>
      </c>
      <c r="C60" s="455">
        <v>10</v>
      </c>
      <c r="D60" s="457" t="s">
        <v>234</v>
      </c>
      <c r="E60" s="324">
        <v>19.8</v>
      </c>
      <c r="F60" s="325">
        <v>29.1</v>
      </c>
      <c r="G60" s="325">
        <v>56.4</v>
      </c>
      <c r="H60" s="325">
        <v>54.9</v>
      </c>
      <c r="I60" s="325">
        <v>34.2</v>
      </c>
      <c r="J60" s="325">
        <v>66.6</v>
      </c>
      <c r="K60" s="325">
        <v>40.5</v>
      </c>
      <c r="L60" s="325">
        <v>27.5</v>
      </c>
      <c r="M60" s="325">
        <v>38.7</v>
      </c>
      <c r="N60" s="325">
        <v>62.1</v>
      </c>
      <c r="O60" s="325">
        <v>46.5</v>
      </c>
      <c r="P60" s="326">
        <v>38.4</v>
      </c>
      <c r="Q60" s="323">
        <f t="shared" si="1"/>
        <v>514.7</v>
      </c>
    </row>
    <row r="61" spans="1:17" ht="14.25">
      <c r="A61" s="423" t="s">
        <v>243</v>
      </c>
      <c r="B61" s="121" t="s">
        <v>227</v>
      </c>
      <c r="C61" s="455">
        <v>10</v>
      </c>
      <c r="D61" s="458" t="s">
        <v>202</v>
      </c>
      <c r="E61" s="330">
        <v>36</v>
      </c>
      <c r="F61" s="327">
        <v>66</v>
      </c>
      <c r="G61" s="327">
        <v>292</v>
      </c>
      <c r="H61" s="327">
        <v>270</v>
      </c>
      <c r="I61" s="327">
        <v>310</v>
      </c>
      <c r="J61" s="327">
        <v>90</v>
      </c>
      <c r="K61" s="327">
        <v>32</v>
      </c>
      <c r="L61" s="327">
        <v>36</v>
      </c>
      <c r="M61" s="327">
        <v>32</v>
      </c>
      <c r="N61" s="327">
        <v>130</v>
      </c>
      <c r="O61" s="327">
        <v>44</v>
      </c>
      <c r="P61" s="328">
        <v>222</v>
      </c>
      <c r="Q61" s="329">
        <f t="shared" si="1"/>
        <v>1560</v>
      </c>
    </row>
    <row r="62" spans="1:17" ht="14.25">
      <c r="A62" s="423" t="s">
        <v>244</v>
      </c>
      <c r="B62" s="121" t="s">
        <v>169</v>
      </c>
      <c r="C62" s="455">
        <v>10</v>
      </c>
      <c r="D62" s="458" t="s">
        <v>170</v>
      </c>
      <c r="E62" s="330">
        <v>4.7</v>
      </c>
      <c r="F62" s="327">
        <v>20.7</v>
      </c>
      <c r="G62" s="327">
        <v>6.7</v>
      </c>
      <c r="H62" s="327">
        <v>4.7</v>
      </c>
      <c r="I62" s="327">
        <v>8.9</v>
      </c>
      <c r="J62" s="327">
        <v>8.9</v>
      </c>
      <c r="K62" s="327">
        <v>8.9</v>
      </c>
      <c r="L62" s="327">
        <v>8.9</v>
      </c>
      <c r="M62" s="327">
        <v>8.9</v>
      </c>
      <c r="N62" s="327">
        <v>8.9</v>
      </c>
      <c r="O62" s="327">
        <v>8.9</v>
      </c>
      <c r="P62" s="328">
        <v>24.9</v>
      </c>
      <c r="Q62" s="329">
        <f t="shared" si="1"/>
        <v>124.00000000000003</v>
      </c>
    </row>
    <row r="63" spans="1:17" ht="14.25">
      <c r="A63" s="423" t="s">
        <v>245</v>
      </c>
      <c r="B63" s="121" t="s">
        <v>246</v>
      </c>
      <c r="C63" s="455">
        <v>10</v>
      </c>
      <c r="D63" s="458" t="s">
        <v>234</v>
      </c>
      <c r="E63" s="330">
        <v>43</v>
      </c>
      <c r="F63" s="327">
        <v>21</v>
      </c>
      <c r="G63" s="327">
        <v>4</v>
      </c>
      <c r="H63" s="327">
        <v>4</v>
      </c>
      <c r="I63" s="327">
        <v>61</v>
      </c>
      <c r="J63" s="327">
        <v>229</v>
      </c>
      <c r="K63" s="327">
        <v>6</v>
      </c>
      <c r="L63" s="327">
        <v>4</v>
      </c>
      <c r="M63" s="327">
        <v>154</v>
      </c>
      <c r="N63" s="327">
        <v>61</v>
      </c>
      <c r="O63" s="327">
        <v>4</v>
      </c>
      <c r="P63" s="328">
        <v>154</v>
      </c>
      <c r="Q63" s="329">
        <f t="shared" si="1"/>
        <v>745</v>
      </c>
    </row>
    <row r="64" spans="1:17" ht="14.25">
      <c r="A64" s="423" t="s">
        <v>247</v>
      </c>
      <c r="B64" s="121" t="s">
        <v>248</v>
      </c>
      <c r="C64" s="455">
        <v>10</v>
      </c>
      <c r="D64" s="458" t="s">
        <v>234</v>
      </c>
      <c r="E64" s="330">
        <v>21.9</v>
      </c>
      <c r="F64" s="327">
        <v>21.9</v>
      </c>
      <c r="G64" s="327">
        <v>88.5</v>
      </c>
      <c r="H64" s="327">
        <v>202.8</v>
      </c>
      <c r="I64" s="327">
        <v>198.2</v>
      </c>
      <c r="J64" s="327">
        <v>202.3</v>
      </c>
      <c r="K64" s="325">
        <v>0</v>
      </c>
      <c r="L64" s="325">
        <v>0</v>
      </c>
      <c r="M64" s="327">
        <v>338.1</v>
      </c>
      <c r="N64" s="327">
        <v>779.7</v>
      </c>
      <c r="O64" s="327">
        <v>145.8</v>
      </c>
      <c r="P64" s="328">
        <v>122.8</v>
      </c>
      <c r="Q64" s="329">
        <f t="shared" si="1"/>
        <v>2122</v>
      </c>
    </row>
    <row r="65" spans="1:17" ht="14.25">
      <c r="A65" s="423" t="s">
        <v>247</v>
      </c>
      <c r="B65" s="121" t="s">
        <v>249</v>
      </c>
      <c r="C65" s="455">
        <v>10</v>
      </c>
      <c r="D65" s="458" t="s">
        <v>202</v>
      </c>
      <c r="E65" s="330">
        <v>21.9</v>
      </c>
      <c r="F65" s="327">
        <v>21.9</v>
      </c>
      <c r="G65" s="327">
        <v>88.5</v>
      </c>
      <c r="H65" s="327">
        <v>202.8</v>
      </c>
      <c r="I65" s="327">
        <v>198.2</v>
      </c>
      <c r="J65" s="327">
        <v>202.3</v>
      </c>
      <c r="K65" s="327">
        <v>0</v>
      </c>
      <c r="L65" s="327">
        <v>0</v>
      </c>
      <c r="M65" s="327">
        <v>440.3</v>
      </c>
      <c r="N65" s="327">
        <v>845.5</v>
      </c>
      <c r="O65" s="327">
        <v>133.8</v>
      </c>
      <c r="P65" s="328">
        <v>122.8</v>
      </c>
      <c r="Q65" s="329">
        <f t="shared" si="1"/>
        <v>2278</v>
      </c>
    </row>
    <row r="66" spans="1:17" ht="14.25">
      <c r="A66" s="425" t="s">
        <v>250</v>
      </c>
      <c r="B66" s="121" t="s">
        <v>172</v>
      </c>
      <c r="C66" s="455">
        <v>10</v>
      </c>
      <c r="D66" s="458" t="s">
        <v>234</v>
      </c>
      <c r="E66" s="330">
        <v>154.56</v>
      </c>
      <c r="F66" s="327">
        <v>150.36</v>
      </c>
      <c r="G66" s="327">
        <v>277.76</v>
      </c>
      <c r="H66" s="327">
        <v>304.46</v>
      </c>
      <c r="I66" s="327">
        <v>295.7</v>
      </c>
      <c r="J66" s="327">
        <v>239.7</v>
      </c>
      <c r="K66" s="327">
        <v>204.6</v>
      </c>
      <c r="L66" s="327">
        <v>145.8</v>
      </c>
      <c r="M66" s="327">
        <v>141.6</v>
      </c>
      <c r="N66" s="327">
        <v>145.8</v>
      </c>
      <c r="O66" s="327">
        <v>141.6</v>
      </c>
      <c r="P66" s="328">
        <v>154.56</v>
      </c>
      <c r="Q66" s="329">
        <f t="shared" si="1"/>
        <v>2356.5</v>
      </c>
    </row>
    <row r="67" spans="1:17" ht="14.25">
      <c r="A67" s="423" t="s">
        <v>251</v>
      </c>
      <c r="B67" s="121" t="s">
        <v>169</v>
      </c>
      <c r="C67" s="455">
        <v>10</v>
      </c>
      <c r="D67" s="458" t="s">
        <v>170</v>
      </c>
      <c r="E67" s="330">
        <v>6</v>
      </c>
      <c r="F67" s="327">
        <v>56.5</v>
      </c>
      <c r="G67" s="327">
        <v>25</v>
      </c>
      <c r="H67" s="327">
        <v>6</v>
      </c>
      <c r="I67" s="327">
        <v>16</v>
      </c>
      <c r="J67" s="327">
        <v>27</v>
      </c>
      <c r="K67" s="327">
        <v>29</v>
      </c>
      <c r="L67" s="327">
        <v>17</v>
      </c>
      <c r="M67" s="327">
        <v>5</v>
      </c>
      <c r="N67" s="327">
        <v>11</v>
      </c>
      <c r="O67" s="327">
        <v>18</v>
      </c>
      <c r="P67" s="326">
        <v>0</v>
      </c>
      <c r="Q67" s="329">
        <f t="shared" si="1"/>
        <v>216.5</v>
      </c>
    </row>
    <row r="68" spans="1:17" ht="14.25">
      <c r="A68" s="423" t="s">
        <v>252</v>
      </c>
      <c r="B68" s="121" t="s">
        <v>253</v>
      </c>
      <c r="C68" s="455">
        <v>10</v>
      </c>
      <c r="D68" s="458" t="s">
        <v>170</v>
      </c>
      <c r="E68" s="330">
        <v>13.2</v>
      </c>
      <c r="F68" s="327">
        <v>50.8</v>
      </c>
      <c r="G68" s="327">
        <v>31</v>
      </c>
      <c r="H68" s="327">
        <v>12</v>
      </c>
      <c r="I68" s="327">
        <v>19</v>
      </c>
      <c r="J68" s="327">
        <v>27</v>
      </c>
      <c r="K68" s="327">
        <v>32</v>
      </c>
      <c r="L68" s="327">
        <v>14</v>
      </c>
      <c r="M68" s="327">
        <v>5</v>
      </c>
      <c r="N68" s="327">
        <v>8</v>
      </c>
      <c r="O68" s="327">
        <v>21</v>
      </c>
      <c r="P68" s="328">
        <v>3</v>
      </c>
      <c r="Q68" s="329">
        <f t="shared" si="1"/>
        <v>236</v>
      </c>
    </row>
    <row r="69" spans="1:17" ht="14.25">
      <c r="A69" s="423" t="s">
        <v>254</v>
      </c>
      <c r="B69" s="121" t="s">
        <v>169</v>
      </c>
      <c r="C69" s="455">
        <v>10</v>
      </c>
      <c r="D69" s="458" t="s">
        <v>170</v>
      </c>
      <c r="E69" s="330">
        <v>29</v>
      </c>
      <c r="F69" s="327">
        <v>3</v>
      </c>
      <c r="G69" s="327">
        <v>9</v>
      </c>
      <c r="H69" s="327">
        <v>6</v>
      </c>
      <c r="I69" s="327">
        <v>21</v>
      </c>
      <c r="J69" s="327">
        <v>15</v>
      </c>
      <c r="K69" s="327">
        <v>18</v>
      </c>
      <c r="L69" s="327">
        <v>35.3</v>
      </c>
      <c r="M69" s="327">
        <v>62.7</v>
      </c>
      <c r="N69" s="327">
        <v>5</v>
      </c>
      <c r="O69" s="327">
        <v>26</v>
      </c>
      <c r="P69" s="328">
        <v>24</v>
      </c>
      <c r="Q69" s="329">
        <f t="shared" si="1"/>
        <v>254</v>
      </c>
    </row>
    <row r="70" spans="1:17" ht="14.25">
      <c r="A70" s="423" t="s">
        <v>254</v>
      </c>
      <c r="B70" s="121" t="s">
        <v>225</v>
      </c>
      <c r="C70" s="455">
        <v>10</v>
      </c>
      <c r="D70" s="458" t="s">
        <v>234</v>
      </c>
      <c r="E70" s="330">
        <v>27</v>
      </c>
      <c r="F70" s="327">
        <v>5</v>
      </c>
      <c r="G70" s="327">
        <v>12</v>
      </c>
      <c r="H70" s="327">
        <v>18</v>
      </c>
      <c r="I70" s="327">
        <v>24</v>
      </c>
      <c r="J70" s="327">
        <v>21</v>
      </c>
      <c r="K70" s="327">
        <v>24</v>
      </c>
      <c r="L70" s="327">
        <v>32.3</v>
      </c>
      <c r="M70" s="327">
        <v>60.7</v>
      </c>
      <c r="N70" s="327">
        <v>8</v>
      </c>
      <c r="O70" s="327">
        <v>26</v>
      </c>
      <c r="P70" s="328">
        <v>24</v>
      </c>
      <c r="Q70" s="329">
        <f t="shared" si="1"/>
        <v>282</v>
      </c>
    </row>
    <row r="71" spans="1:17" ht="14.25">
      <c r="A71" s="423" t="s">
        <v>255</v>
      </c>
      <c r="B71" s="121" t="s">
        <v>169</v>
      </c>
      <c r="C71" s="455">
        <v>10</v>
      </c>
      <c r="D71" s="458" t="s">
        <v>170</v>
      </c>
      <c r="E71" s="330">
        <v>5.4</v>
      </c>
      <c r="F71" s="327">
        <v>26.4</v>
      </c>
      <c r="G71" s="327">
        <v>36</v>
      </c>
      <c r="H71" s="327">
        <v>18.8</v>
      </c>
      <c r="I71" s="327">
        <v>40.4</v>
      </c>
      <c r="J71" s="327">
        <v>29.4</v>
      </c>
      <c r="K71" s="327">
        <v>153.8</v>
      </c>
      <c r="L71" s="327">
        <v>162.4</v>
      </c>
      <c r="M71" s="327">
        <v>34.2</v>
      </c>
      <c r="N71" s="327">
        <v>24.4</v>
      </c>
      <c r="O71" s="327">
        <v>3.4</v>
      </c>
      <c r="P71" s="328">
        <v>18.2</v>
      </c>
      <c r="Q71" s="329">
        <f t="shared" si="1"/>
        <v>552.8000000000001</v>
      </c>
    </row>
    <row r="72" spans="1:17" ht="14.25">
      <c r="A72" s="423" t="s">
        <v>256</v>
      </c>
      <c r="B72" s="121" t="s">
        <v>246</v>
      </c>
      <c r="C72" s="455">
        <v>10</v>
      </c>
      <c r="D72" s="458" t="s">
        <v>234</v>
      </c>
      <c r="E72" s="330">
        <v>36</v>
      </c>
      <c r="F72" s="327">
        <v>27.5</v>
      </c>
      <c r="G72" s="327">
        <v>41.5</v>
      </c>
      <c r="H72" s="327">
        <v>13</v>
      </c>
      <c r="I72" s="327">
        <v>116</v>
      </c>
      <c r="J72" s="327">
        <v>62</v>
      </c>
      <c r="K72" s="327">
        <v>71</v>
      </c>
      <c r="L72" s="327">
        <v>54.5</v>
      </c>
      <c r="M72" s="327">
        <v>19.5</v>
      </c>
      <c r="N72" s="327">
        <v>2</v>
      </c>
      <c r="O72" s="327">
        <v>37.5</v>
      </c>
      <c r="P72" s="328">
        <v>4</v>
      </c>
      <c r="Q72" s="329">
        <f aca="true" t="shared" si="2" ref="Q72:Q103">SUM(E72:P72)</f>
        <v>484.5</v>
      </c>
    </row>
    <row r="73" spans="1:17" ht="14.25">
      <c r="A73" s="423" t="s">
        <v>255</v>
      </c>
      <c r="B73" s="121" t="s">
        <v>257</v>
      </c>
      <c r="C73" s="455">
        <v>10</v>
      </c>
      <c r="D73" s="458" t="s">
        <v>135</v>
      </c>
      <c r="E73" s="330">
        <v>4.9</v>
      </c>
      <c r="F73" s="327">
        <v>10.9</v>
      </c>
      <c r="G73" s="327">
        <v>27.6</v>
      </c>
      <c r="H73" s="327">
        <v>40.2</v>
      </c>
      <c r="I73" s="327">
        <v>35.8</v>
      </c>
      <c r="J73" s="327">
        <v>31.2</v>
      </c>
      <c r="K73" s="327">
        <v>93.2</v>
      </c>
      <c r="L73" s="327">
        <v>59.2</v>
      </c>
      <c r="M73" s="327">
        <v>29.2</v>
      </c>
      <c r="N73" s="327">
        <v>17.2</v>
      </c>
      <c r="O73" s="327">
        <v>23.9</v>
      </c>
      <c r="P73" s="328">
        <v>52.6</v>
      </c>
      <c r="Q73" s="329">
        <f t="shared" si="2"/>
        <v>425.9</v>
      </c>
    </row>
    <row r="74" spans="1:17" ht="14.25">
      <c r="A74" s="423" t="s">
        <v>258</v>
      </c>
      <c r="B74" s="121" t="s">
        <v>259</v>
      </c>
      <c r="C74" s="455">
        <v>10</v>
      </c>
      <c r="D74" s="458" t="s">
        <v>240</v>
      </c>
      <c r="E74" s="324">
        <v>0</v>
      </c>
      <c r="F74" s="327">
        <v>8</v>
      </c>
      <c r="G74" s="327">
        <v>12</v>
      </c>
      <c r="H74" s="327">
        <v>8</v>
      </c>
      <c r="I74" s="327">
        <v>18</v>
      </c>
      <c r="J74" s="327">
        <v>34</v>
      </c>
      <c r="K74" s="327">
        <v>4</v>
      </c>
      <c r="L74" s="327">
        <v>12</v>
      </c>
      <c r="M74" s="325">
        <v>0</v>
      </c>
      <c r="N74" s="327">
        <v>30</v>
      </c>
      <c r="O74" s="325">
        <v>0</v>
      </c>
      <c r="P74" s="328">
        <v>4</v>
      </c>
      <c r="Q74" s="329">
        <f t="shared" si="2"/>
        <v>130</v>
      </c>
    </row>
    <row r="75" spans="1:17" ht="14.25">
      <c r="A75" s="423" t="s">
        <v>260</v>
      </c>
      <c r="B75" s="121" t="s">
        <v>225</v>
      </c>
      <c r="C75" s="455">
        <f>20/2</f>
        <v>10</v>
      </c>
      <c r="D75" s="458" t="s">
        <v>234</v>
      </c>
      <c r="E75" s="324">
        <v>0</v>
      </c>
      <c r="F75" s="325">
        <v>0</v>
      </c>
      <c r="G75" s="327">
        <f>3/2</f>
        <v>1.5</v>
      </c>
      <c r="H75" s="327">
        <f>1/2</f>
        <v>0.5</v>
      </c>
      <c r="I75" s="327">
        <f>18/2</f>
        <v>9</v>
      </c>
      <c r="J75" s="327">
        <f>37/2</f>
        <v>18.5</v>
      </c>
      <c r="K75" s="327">
        <f>26/2</f>
        <v>13</v>
      </c>
      <c r="L75" s="327">
        <f>35/2</f>
        <v>17.5</v>
      </c>
      <c r="M75" s="327">
        <f>8/2</f>
        <v>4</v>
      </c>
      <c r="N75" s="327">
        <f>1/2</f>
        <v>0.5</v>
      </c>
      <c r="O75" s="327">
        <f>1/2</f>
        <v>0.5</v>
      </c>
      <c r="P75" s="326">
        <v>0</v>
      </c>
      <c r="Q75" s="329">
        <f t="shared" si="2"/>
        <v>65</v>
      </c>
    </row>
    <row r="76" spans="1:17" ht="14.25">
      <c r="A76" s="423" t="s">
        <v>261</v>
      </c>
      <c r="B76" s="121" t="s">
        <v>262</v>
      </c>
      <c r="C76" s="455">
        <v>10</v>
      </c>
      <c r="D76" s="458" t="s">
        <v>240</v>
      </c>
      <c r="E76" s="330">
        <v>13</v>
      </c>
      <c r="F76" s="327">
        <v>5</v>
      </c>
      <c r="G76" s="327">
        <v>6</v>
      </c>
      <c r="H76" s="327">
        <v>3</v>
      </c>
      <c r="I76" s="327">
        <v>5</v>
      </c>
      <c r="J76" s="327">
        <v>3</v>
      </c>
      <c r="K76" s="325">
        <v>0</v>
      </c>
      <c r="L76" s="327">
        <v>5</v>
      </c>
      <c r="M76" s="325">
        <v>0</v>
      </c>
      <c r="N76" s="327">
        <v>83</v>
      </c>
      <c r="O76" s="327">
        <v>80</v>
      </c>
      <c r="P76" s="328">
        <v>13</v>
      </c>
      <c r="Q76" s="329">
        <f t="shared" si="2"/>
        <v>216</v>
      </c>
    </row>
    <row r="77" spans="1:17" ht="14.25">
      <c r="A77" s="423" t="s">
        <v>263</v>
      </c>
      <c r="B77" s="121" t="s">
        <v>172</v>
      </c>
      <c r="C77" s="455">
        <v>10</v>
      </c>
      <c r="D77" s="458" t="s">
        <v>234</v>
      </c>
      <c r="E77" s="324">
        <v>0</v>
      </c>
      <c r="F77" s="327">
        <v>8</v>
      </c>
      <c r="G77" s="327">
        <v>16</v>
      </c>
      <c r="H77" s="327">
        <v>18</v>
      </c>
      <c r="I77" s="327">
        <v>82</v>
      </c>
      <c r="J77" s="327">
        <v>21</v>
      </c>
      <c r="K77" s="327">
        <v>64</v>
      </c>
      <c r="L77" s="327">
        <v>28</v>
      </c>
      <c r="M77" s="327">
        <v>14</v>
      </c>
      <c r="N77" s="327">
        <v>42</v>
      </c>
      <c r="O77" s="325">
        <v>0</v>
      </c>
      <c r="P77" s="328">
        <v>8</v>
      </c>
      <c r="Q77" s="329">
        <f t="shared" si="2"/>
        <v>301</v>
      </c>
    </row>
    <row r="78" spans="1:17" ht="14.25">
      <c r="A78" s="423" t="s">
        <v>264</v>
      </c>
      <c r="B78" s="121" t="s">
        <v>265</v>
      </c>
      <c r="C78" s="455">
        <v>10</v>
      </c>
      <c r="D78" s="458" t="s">
        <v>266</v>
      </c>
      <c r="E78" s="330">
        <v>25.7</v>
      </c>
      <c r="F78" s="327">
        <v>40.7</v>
      </c>
      <c r="G78" s="327">
        <v>40.7</v>
      </c>
      <c r="H78" s="327">
        <v>38.7</v>
      </c>
      <c r="I78" s="327">
        <v>45.7</v>
      </c>
      <c r="J78" s="327">
        <v>40.7</v>
      </c>
      <c r="K78" s="327">
        <v>28.9</v>
      </c>
      <c r="L78" s="327">
        <v>3</v>
      </c>
      <c r="M78" s="327">
        <v>3</v>
      </c>
      <c r="N78" s="327">
        <v>2</v>
      </c>
      <c r="O78" s="327">
        <v>16</v>
      </c>
      <c r="P78" s="326">
        <v>0</v>
      </c>
      <c r="Q78" s="329">
        <f t="shared" si="2"/>
        <v>285.09999999999997</v>
      </c>
    </row>
    <row r="79" spans="1:17" ht="14.25">
      <c r="A79" s="423" t="s">
        <v>267</v>
      </c>
      <c r="B79" s="121" t="s">
        <v>190</v>
      </c>
      <c r="C79" s="455">
        <v>10</v>
      </c>
      <c r="D79" s="458" t="s">
        <v>176</v>
      </c>
      <c r="E79" s="330">
        <v>22.5</v>
      </c>
      <c r="F79" s="327">
        <v>21</v>
      </c>
      <c r="G79" s="327">
        <v>42.5</v>
      </c>
      <c r="H79" s="327">
        <v>8.5</v>
      </c>
      <c r="I79" s="327"/>
      <c r="J79" s="327">
        <v>1.5</v>
      </c>
      <c r="K79" s="327">
        <v>2</v>
      </c>
      <c r="L79" s="327">
        <v>9</v>
      </c>
      <c r="M79" s="327">
        <v>36.5</v>
      </c>
      <c r="N79" s="327">
        <v>21</v>
      </c>
      <c r="O79" s="327">
        <v>21</v>
      </c>
      <c r="P79" s="328">
        <v>21</v>
      </c>
      <c r="Q79" s="329">
        <f t="shared" si="2"/>
        <v>206.5</v>
      </c>
    </row>
    <row r="80" spans="1:17" ht="14.25">
      <c r="A80" s="425" t="s">
        <v>268</v>
      </c>
      <c r="B80" s="121" t="s">
        <v>172</v>
      </c>
      <c r="C80" s="455">
        <v>10</v>
      </c>
      <c r="D80" s="458" t="s">
        <v>234</v>
      </c>
      <c r="E80" s="330">
        <v>46.1</v>
      </c>
      <c r="F80" s="327">
        <v>54.1</v>
      </c>
      <c r="G80" s="327">
        <v>15.1</v>
      </c>
      <c r="H80" s="327">
        <v>60.1</v>
      </c>
      <c r="I80" s="327">
        <v>137.1</v>
      </c>
      <c r="J80" s="327">
        <v>101.6</v>
      </c>
      <c r="K80" s="327">
        <v>38.3</v>
      </c>
      <c r="L80" s="327">
        <v>26.5</v>
      </c>
      <c r="M80" s="327">
        <v>46.6</v>
      </c>
      <c r="N80" s="327">
        <v>40.7</v>
      </c>
      <c r="O80" s="327">
        <v>94</v>
      </c>
      <c r="P80" s="328">
        <v>58.1</v>
      </c>
      <c r="Q80" s="329">
        <f t="shared" si="2"/>
        <v>718.3000000000001</v>
      </c>
    </row>
    <row r="81" spans="1:17" ht="14.25">
      <c r="A81" s="425" t="s">
        <v>269</v>
      </c>
      <c r="B81" s="121" t="s">
        <v>270</v>
      </c>
      <c r="C81" s="455">
        <v>10</v>
      </c>
      <c r="D81" s="458" t="s">
        <v>234</v>
      </c>
      <c r="E81" s="330">
        <v>39.1</v>
      </c>
      <c r="F81" s="327">
        <v>22.1</v>
      </c>
      <c r="G81" s="327">
        <v>9.1</v>
      </c>
      <c r="H81" s="327">
        <v>11.1</v>
      </c>
      <c r="I81" s="327">
        <v>68.1</v>
      </c>
      <c r="J81" s="327">
        <v>69.6</v>
      </c>
      <c r="K81" s="327">
        <v>63.1</v>
      </c>
      <c r="L81" s="327">
        <v>53.7</v>
      </c>
      <c r="M81" s="327">
        <v>58.6</v>
      </c>
      <c r="N81" s="327">
        <v>18.1</v>
      </c>
      <c r="O81" s="327">
        <v>38.6</v>
      </c>
      <c r="P81" s="328">
        <v>54.1</v>
      </c>
      <c r="Q81" s="329">
        <f t="shared" si="2"/>
        <v>505.30000000000007</v>
      </c>
    </row>
    <row r="82" spans="1:17" ht="14.25">
      <c r="A82" s="423" t="s">
        <v>271</v>
      </c>
      <c r="B82" s="121" t="s">
        <v>125</v>
      </c>
      <c r="C82" s="455">
        <v>10</v>
      </c>
      <c r="D82" s="458" t="s">
        <v>234</v>
      </c>
      <c r="E82" s="330">
        <v>99</v>
      </c>
      <c r="F82" s="327">
        <v>115.5</v>
      </c>
      <c r="G82" s="327">
        <v>115.5</v>
      </c>
      <c r="H82" s="327">
        <v>115</v>
      </c>
      <c r="I82" s="327">
        <v>106.9</v>
      </c>
      <c r="J82" s="327">
        <v>30.6</v>
      </c>
      <c r="K82" s="325">
        <v>0</v>
      </c>
      <c r="L82" s="327">
        <v>6.6</v>
      </c>
      <c r="M82" s="327">
        <v>61</v>
      </c>
      <c r="N82" s="327">
        <v>25.5</v>
      </c>
      <c r="O82" s="327">
        <v>16.5</v>
      </c>
      <c r="P82" s="328">
        <v>43.5</v>
      </c>
      <c r="Q82" s="329">
        <f t="shared" si="2"/>
        <v>735.6</v>
      </c>
    </row>
    <row r="83" spans="1:17" ht="14.25">
      <c r="A83" s="423" t="s">
        <v>272</v>
      </c>
      <c r="B83" s="121" t="s">
        <v>249</v>
      </c>
      <c r="C83" s="455"/>
      <c r="D83" s="458" t="s">
        <v>202</v>
      </c>
      <c r="E83" s="330">
        <v>12</v>
      </c>
      <c r="F83" s="327">
        <v>10.5</v>
      </c>
      <c r="G83" s="327">
        <v>6</v>
      </c>
      <c r="H83" s="327">
        <v>12</v>
      </c>
      <c r="I83" s="327">
        <v>8.5</v>
      </c>
      <c r="J83" s="327">
        <v>109</v>
      </c>
      <c r="K83" s="327">
        <v>8.5</v>
      </c>
      <c r="L83" s="327">
        <v>58</v>
      </c>
      <c r="M83" s="327">
        <v>14</v>
      </c>
      <c r="N83" s="327" t="s">
        <v>273</v>
      </c>
      <c r="O83" s="327" t="s">
        <v>273</v>
      </c>
      <c r="P83" s="328" t="s">
        <v>273</v>
      </c>
      <c r="Q83" s="329">
        <f t="shared" si="2"/>
        <v>238.5</v>
      </c>
    </row>
    <row r="84" spans="1:17" ht="14.25">
      <c r="A84" s="423" t="s">
        <v>274</v>
      </c>
      <c r="B84" s="121" t="s">
        <v>246</v>
      </c>
      <c r="C84" s="455"/>
      <c r="D84" s="458" t="s">
        <v>234</v>
      </c>
      <c r="E84" s="330">
        <v>18</v>
      </c>
      <c r="F84" s="327">
        <v>103</v>
      </c>
      <c r="G84" s="327">
        <v>240</v>
      </c>
      <c r="H84" s="327">
        <v>90</v>
      </c>
      <c r="I84" s="327">
        <v>22</v>
      </c>
      <c r="J84" s="327">
        <v>38</v>
      </c>
      <c r="K84" s="327">
        <v>41</v>
      </c>
      <c r="L84" s="327">
        <v>14</v>
      </c>
      <c r="M84" s="327">
        <v>30</v>
      </c>
      <c r="N84" s="327">
        <v>28</v>
      </c>
      <c r="O84" s="327">
        <v>44</v>
      </c>
      <c r="P84" s="328">
        <v>64</v>
      </c>
      <c r="Q84" s="329">
        <f t="shared" si="2"/>
        <v>732</v>
      </c>
    </row>
    <row r="85" spans="1:17" ht="14.25">
      <c r="A85" s="423" t="s">
        <v>275</v>
      </c>
      <c r="B85" s="121" t="s">
        <v>276</v>
      </c>
      <c r="C85" s="455"/>
      <c r="D85" s="458" t="s">
        <v>234</v>
      </c>
      <c r="E85" s="330">
        <v>72</v>
      </c>
      <c r="F85" s="327" t="s">
        <v>277</v>
      </c>
      <c r="G85" s="327">
        <v>36.6</v>
      </c>
      <c r="H85" s="327">
        <v>0.6</v>
      </c>
      <c r="I85" s="327">
        <v>22.6</v>
      </c>
      <c r="J85" s="327">
        <v>2.6</v>
      </c>
      <c r="K85" s="327">
        <v>48.6</v>
      </c>
      <c r="L85" s="327">
        <v>50.6</v>
      </c>
      <c r="M85" s="327">
        <v>108.6</v>
      </c>
      <c r="N85" s="327">
        <v>90.6</v>
      </c>
      <c r="O85" s="327">
        <v>40.6</v>
      </c>
      <c r="P85" s="328">
        <v>120</v>
      </c>
      <c r="Q85" s="329">
        <f t="shared" si="2"/>
        <v>593.4</v>
      </c>
    </row>
    <row r="86" spans="1:17" ht="14.25">
      <c r="A86" s="423" t="s">
        <v>275</v>
      </c>
      <c r="B86" s="121" t="s">
        <v>180</v>
      </c>
      <c r="C86" s="455"/>
      <c r="D86" s="458" t="s">
        <v>234</v>
      </c>
      <c r="E86" s="330">
        <v>90.9</v>
      </c>
      <c r="F86" s="327">
        <v>0.9</v>
      </c>
      <c r="G86" s="327">
        <v>2.9</v>
      </c>
      <c r="H86" s="327">
        <v>60.9</v>
      </c>
      <c r="I86" s="327">
        <v>30.9</v>
      </c>
      <c r="J86" s="327">
        <v>6.9</v>
      </c>
      <c r="K86" s="327">
        <v>30.9</v>
      </c>
      <c r="L86" s="327">
        <v>58.9</v>
      </c>
      <c r="M86" s="327">
        <v>81.9</v>
      </c>
      <c r="N86" s="327">
        <v>51.9</v>
      </c>
      <c r="O86" s="327">
        <v>0.9</v>
      </c>
      <c r="P86" s="328">
        <v>92.9</v>
      </c>
      <c r="Q86" s="329">
        <f t="shared" si="2"/>
        <v>510.79999999999995</v>
      </c>
    </row>
    <row r="87" spans="1:17" ht="14.25">
      <c r="A87" s="423" t="s">
        <v>278</v>
      </c>
      <c r="B87" s="121" t="s">
        <v>169</v>
      </c>
      <c r="C87" s="455"/>
      <c r="D87" s="458" t="s">
        <v>170</v>
      </c>
      <c r="E87" s="330" t="s">
        <v>279</v>
      </c>
      <c r="F87" s="327" t="s">
        <v>279</v>
      </c>
      <c r="G87" s="327">
        <v>59</v>
      </c>
      <c r="H87" s="327">
        <v>3</v>
      </c>
      <c r="I87" s="327" t="s">
        <v>279</v>
      </c>
      <c r="J87" s="327">
        <v>4</v>
      </c>
      <c r="K87" s="327" t="s">
        <v>279</v>
      </c>
      <c r="L87" s="327" t="s">
        <v>279</v>
      </c>
      <c r="M87" s="327" t="s">
        <v>279</v>
      </c>
      <c r="N87" s="327">
        <v>1</v>
      </c>
      <c r="O87" s="327" t="s">
        <v>279</v>
      </c>
      <c r="P87" s="328">
        <v>2</v>
      </c>
      <c r="Q87" s="329">
        <f t="shared" si="2"/>
        <v>69</v>
      </c>
    </row>
    <row r="88" spans="1:17" ht="14.25">
      <c r="A88" s="423" t="s">
        <v>280</v>
      </c>
      <c r="B88" s="121" t="s">
        <v>169</v>
      </c>
      <c r="C88" s="455"/>
      <c r="D88" s="458" t="s">
        <v>170</v>
      </c>
      <c r="E88" s="330">
        <v>41</v>
      </c>
      <c r="F88" s="327">
        <v>19</v>
      </c>
      <c r="G88" s="327" t="s">
        <v>279</v>
      </c>
      <c r="H88" s="327" t="s">
        <v>279</v>
      </c>
      <c r="I88" s="327" t="s">
        <v>279</v>
      </c>
      <c r="J88" s="327" t="s">
        <v>279</v>
      </c>
      <c r="K88" s="327" t="s">
        <v>279</v>
      </c>
      <c r="L88" s="327">
        <v>33</v>
      </c>
      <c r="M88" s="327" t="s">
        <v>279</v>
      </c>
      <c r="N88" s="327">
        <v>2</v>
      </c>
      <c r="O88" s="327">
        <v>3</v>
      </c>
      <c r="P88" s="328">
        <v>2</v>
      </c>
      <c r="Q88" s="329">
        <f t="shared" si="2"/>
        <v>100</v>
      </c>
    </row>
    <row r="89" spans="1:17" ht="14.25">
      <c r="A89" s="423" t="s">
        <v>281</v>
      </c>
      <c r="B89" s="121" t="s">
        <v>169</v>
      </c>
      <c r="C89" s="455"/>
      <c r="D89" s="458" t="s">
        <v>170</v>
      </c>
      <c r="E89" s="330" t="s">
        <v>279</v>
      </c>
      <c r="F89" s="327">
        <v>13</v>
      </c>
      <c r="G89" s="327">
        <v>14</v>
      </c>
      <c r="H89" s="327">
        <v>3</v>
      </c>
      <c r="I89" s="327" t="s">
        <v>279</v>
      </c>
      <c r="J89" s="327">
        <v>4</v>
      </c>
      <c r="K89" s="327" t="s">
        <v>279</v>
      </c>
      <c r="L89" s="327" t="s">
        <v>279</v>
      </c>
      <c r="M89" s="327" t="s">
        <v>279</v>
      </c>
      <c r="N89" s="327">
        <v>1</v>
      </c>
      <c r="O89" s="327" t="s">
        <v>279</v>
      </c>
      <c r="P89" s="328">
        <v>2</v>
      </c>
      <c r="Q89" s="329">
        <f t="shared" si="2"/>
        <v>37</v>
      </c>
    </row>
    <row r="90" spans="1:17" ht="14.25">
      <c r="A90" s="425" t="s">
        <v>282</v>
      </c>
      <c r="B90" s="121" t="s">
        <v>222</v>
      </c>
      <c r="C90" s="455"/>
      <c r="D90" s="458" t="s">
        <v>176</v>
      </c>
      <c r="E90" s="330" t="s">
        <v>283</v>
      </c>
      <c r="F90" s="327">
        <v>11.5</v>
      </c>
      <c r="G90" s="327" t="s">
        <v>283</v>
      </c>
      <c r="H90" s="327">
        <v>8</v>
      </c>
      <c r="I90" s="327">
        <v>14</v>
      </c>
      <c r="J90" s="327" t="s">
        <v>283</v>
      </c>
      <c r="K90" s="327" t="s">
        <v>283</v>
      </c>
      <c r="L90" s="327" t="s">
        <v>283</v>
      </c>
      <c r="M90" s="327">
        <v>20</v>
      </c>
      <c r="N90" s="327">
        <v>3</v>
      </c>
      <c r="O90" s="327">
        <v>1</v>
      </c>
      <c r="P90" s="328" t="s">
        <v>283</v>
      </c>
      <c r="Q90" s="329">
        <f t="shared" si="2"/>
        <v>57.5</v>
      </c>
    </row>
    <row r="91" spans="1:17" ht="14.25">
      <c r="A91" s="425" t="s">
        <v>284</v>
      </c>
      <c r="B91" s="121" t="s">
        <v>253</v>
      </c>
      <c r="C91" s="455"/>
      <c r="D91" s="458" t="s">
        <v>135</v>
      </c>
      <c r="E91" s="330" t="s">
        <v>285</v>
      </c>
      <c r="F91" s="327" t="s">
        <v>285</v>
      </c>
      <c r="G91" s="327" t="s">
        <v>285</v>
      </c>
      <c r="H91" s="327">
        <v>0.6</v>
      </c>
      <c r="I91" s="327">
        <v>0.75</v>
      </c>
      <c r="J91" s="327">
        <v>3</v>
      </c>
      <c r="K91" s="327" t="s">
        <v>285</v>
      </c>
      <c r="L91" s="327">
        <v>2.8</v>
      </c>
      <c r="M91" s="327">
        <v>0.2</v>
      </c>
      <c r="N91" s="327">
        <v>0.4</v>
      </c>
      <c r="O91" s="327" t="s">
        <v>285</v>
      </c>
      <c r="P91" s="328">
        <v>2</v>
      </c>
      <c r="Q91" s="329">
        <f t="shared" si="2"/>
        <v>9.75</v>
      </c>
    </row>
    <row r="92" spans="1:17" ht="14.25">
      <c r="A92" s="425" t="s">
        <v>286</v>
      </c>
      <c r="B92" s="121" t="s">
        <v>199</v>
      </c>
      <c r="C92" s="455"/>
      <c r="D92" s="458" t="s">
        <v>176</v>
      </c>
      <c r="E92" s="330" t="s">
        <v>283</v>
      </c>
      <c r="F92" s="327">
        <v>24.6</v>
      </c>
      <c r="G92" s="327">
        <v>41.4</v>
      </c>
      <c r="H92" s="327">
        <v>1</v>
      </c>
      <c r="I92" s="327">
        <v>1</v>
      </c>
      <c r="J92" s="327">
        <v>16</v>
      </c>
      <c r="K92" s="327">
        <v>16</v>
      </c>
      <c r="L92" s="327" t="s">
        <v>283</v>
      </c>
      <c r="M92" s="327" t="s">
        <v>283</v>
      </c>
      <c r="N92" s="327">
        <v>1.5</v>
      </c>
      <c r="O92" s="327">
        <v>1</v>
      </c>
      <c r="P92" s="328" t="s">
        <v>283</v>
      </c>
      <c r="Q92" s="329">
        <f t="shared" si="2"/>
        <v>102.5</v>
      </c>
    </row>
    <row r="93" spans="1:17" ht="14.25">
      <c r="A93" s="425" t="s">
        <v>287</v>
      </c>
      <c r="B93" s="121" t="s">
        <v>199</v>
      </c>
      <c r="C93" s="455"/>
      <c r="D93" s="458" t="s">
        <v>176</v>
      </c>
      <c r="E93" s="330">
        <v>18.6</v>
      </c>
      <c r="F93" s="327">
        <v>18.6</v>
      </c>
      <c r="G93" s="327">
        <v>18.8</v>
      </c>
      <c r="H93" s="327">
        <v>17</v>
      </c>
      <c r="I93" s="327">
        <v>17.5</v>
      </c>
      <c r="J93" s="327">
        <v>0.5</v>
      </c>
      <c r="K93" s="327" t="s">
        <v>283</v>
      </c>
      <c r="L93" s="327" t="s">
        <v>283</v>
      </c>
      <c r="M93" s="327" t="s">
        <v>283</v>
      </c>
      <c r="N93" s="327">
        <v>1.5</v>
      </c>
      <c r="O93" s="327">
        <v>1</v>
      </c>
      <c r="P93" s="328" t="s">
        <v>283</v>
      </c>
      <c r="Q93" s="329">
        <f t="shared" si="2"/>
        <v>93.5</v>
      </c>
    </row>
    <row r="94" spans="1:17" ht="14.25">
      <c r="A94" s="425" t="s">
        <v>288</v>
      </c>
      <c r="B94" s="121" t="s">
        <v>289</v>
      </c>
      <c r="C94" s="455"/>
      <c r="D94" s="458" t="s">
        <v>176</v>
      </c>
      <c r="E94" s="330">
        <v>0.72</v>
      </c>
      <c r="F94" s="327">
        <v>4.34</v>
      </c>
      <c r="G94" s="327">
        <v>4.63</v>
      </c>
      <c r="H94" s="327">
        <v>4.25</v>
      </c>
      <c r="I94" s="327">
        <v>4.1</v>
      </c>
      <c r="J94" s="327">
        <v>0.87</v>
      </c>
      <c r="K94" s="327">
        <v>0.77</v>
      </c>
      <c r="L94" s="327">
        <v>0.42</v>
      </c>
      <c r="M94" s="327" t="s">
        <v>283</v>
      </c>
      <c r="N94" s="327" t="s">
        <v>283</v>
      </c>
      <c r="O94" s="327" t="s">
        <v>283</v>
      </c>
      <c r="P94" s="328" t="s">
        <v>283</v>
      </c>
      <c r="Q94" s="329">
        <f t="shared" si="2"/>
        <v>20.1</v>
      </c>
    </row>
    <row r="95" spans="1:17" ht="14.25">
      <c r="A95" s="425" t="s">
        <v>284</v>
      </c>
      <c r="B95" s="121" t="s">
        <v>289</v>
      </c>
      <c r="C95" s="455"/>
      <c r="D95" s="458" t="s">
        <v>176</v>
      </c>
      <c r="E95" s="330">
        <v>0.95</v>
      </c>
      <c r="F95" s="327">
        <v>0.85</v>
      </c>
      <c r="G95" s="327">
        <v>0.87</v>
      </c>
      <c r="H95" s="327">
        <v>0.97</v>
      </c>
      <c r="I95" s="327">
        <v>0.95</v>
      </c>
      <c r="J95" s="327">
        <v>1</v>
      </c>
      <c r="K95" s="327">
        <v>1.25</v>
      </c>
      <c r="L95" s="327">
        <v>0.5</v>
      </c>
      <c r="M95" s="327">
        <v>2</v>
      </c>
      <c r="N95" s="327">
        <v>6.26</v>
      </c>
      <c r="O95" s="327">
        <v>4.61</v>
      </c>
      <c r="P95" s="328">
        <v>0.59</v>
      </c>
      <c r="Q95" s="329">
        <f t="shared" si="2"/>
        <v>20.8</v>
      </c>
    </row>
    <row r="96" spans="1:17" ht="14.25">
      <c r="A96" s="425" t="s">
        <v>290</v>
      </c>
      <c r="B96" s="121" t="s">
        <v>289</v>
      </c>
      <c r="C96" s="455"/>
      <c r="D96" s="458" t="s">
        <v>176</v>
      </c>
      <c r="E96" s="330">
        <v>0.56</v>
      </c>
      <c r="F96" s="327">
        <v>1.03</v>
      </c>
      <c r="G96" s="327">
        <v>1.13</v>
      </c>
      <c r="H96" s="327">
        <v>0.83</v>
      </c>
      <c r="I96" s="327">
        <v>0.3</v>
      </c>
      <c r="J96" s="327">
        <v>0.48</v>
      </c>
      <c r="K96" s="327">
        <v>0.72</v>
      </c>
      <c r="L96" s="327" t="s">
        <v>283</v>
      </c>
      <c r="M96" s="327" t="s">
        <v>283</v>
      </c>
      <c r="N96" s="327" t="s">
        <v>283</v>
      </c>
      <c r="O96" s="327" t="s">
        <v>283</v>
      </c>
      <c r="P96" s="328" t="s">
        <v>283</v>
      </c>
      <c r="Q96" s="329">
        <f t="shared" si="2"/>
        <v>5.05</v>
      </c>
    </row>
    <row r="97" spans="1:17" ht="14.25">
      <c r="A97" s="425" t="s">
        <v>291</v>
      </c>
      <c r="B97" s="121" t="s">
        <v>175</v>
      </c>
      <c r="C97" s="455"/>
      <c r="D97" s="458" t="s">
        <v>176</v>
      </c>
      <c r="E97" s="330">
        <v>0.4</v>
      </c>
      <c r="F97" s="327">
        <v>0.8</v>
      </c>
      <c r="G97" s="327">
        <v>1.2</v>
      </c>
      <c r="H97" s="327">
        <v>2.4</v>
      </c>
      <c r="I97" s="327">
        <v>1</v>
      </c>
      <c r="J97" s="327" t="s">
        <v>283</v>
      </c>
      <c r="K97" s="327">
        <v>1.2</v>
      </c>
      <c r="L97" s="327">
        <v>10.02</v>
      </c>
      <c r="M97" s="327">
        <v>12.58</v>
      </c>
      <c r="N97" s="327">
        <v>2.7</v>
      </c>
      <c r="O97" s="327">
        <v>0.5</v>
      </c>
      <c r="P97" s="328">
        <v>1.2</v>
      </c>
      <c r="Q97" s="329">
        <f t="shared" si="2"/>
        <v>34.00000000000001</v>
      </c>
    </row>
    <row r="98" spans="1:17" ht="14.25">
      <c r="A98" s="425" t="s">
        <v>292</v>
      </c>
      <c r="B98" s="121" t="s">
        <v>293</v>
      </c>
      <c r="C98" s="455"/>
      <c r="D98" s="458" t="s">
        <v>135</v>
      </c>
      <c r="E98" s="330">
        <v>2</v>
      </c>
      <c r="F98" s="327" t="s">
        <v>285</v>
      </c>
      <c r="G98" s="327">
        <v>0.5</v>
      </c>
      <c r="H98" s="327">
        <v>6.5</v>
      </c>
      <c r="I98" s="327">
        <v>6</v>
      </c>
      <c r="J98" s="327" t="s">
        <v>285</v>
      </c>
      <c r="K98" s="327" t="s">
        <v>285</v>
      </c>
      <c r="L98" s="327">
        <v>17.3</v>
      </c>
      <c r="M98" s="327">
        <v>26.4</v>
      </c>
      <c r="N98" s="327">
        <v>8.3</v>
      </c>
      <c r="O98" s="327" t="s">
        <v>285</v>
      </c>
      <c r="P98" s="328">
        <v>3</v>
      </c>
      <c r="Q98" s="329">
        <f t="shared" si="2"/>
        <v>70</v>
      </c>
    </row>
    <row r="99" spans="1:17" ht="14.25">
      <c r="A99" s="423" t="s">
        <v>278</v>
      </c>
      <c r="B99" s="121" t="s">
        <v>195</v>
      </c>
      <c r="C99" s="455"/>
      <c r="D99" s="458" t="s">
        <v>294</v>
      </c>
      <c r="E99" s="330" t="s">
        <v>295</v>
      </c>
      <c r="F99" s="327">
        <v>16.52</v>
      </c>
      <c r="G99" s="327">
        <v>16.48</v>
      </c>
      <c r="H99" s="327">
        <v>13.65</v>
      </c>
      <c r="I99" s="327">
        <v>5.6</v>
      </c>
      <c r="J99" s="327">
        <v>0.75</v>
      </c>
      <c r="K99" s="327" t="s">
        <v>295</v>
      </c>
      <c r="L99" s="327" t="s">
        <v>295</v>
      </c>
      <c r="M99" s="327" t="s">
        <v>295</v>
      </c>
      <c r="N99" s="327">
        <v>2</v>
      </c>
      <c r="O99" s="327" t="s">
        <v>295</v>
      </c>
      <c r="P99" s="328" t="s">
        <v>295</v>
      </c>
      <c r="Q99" s="329">
        <f t="shared" si="2"/>
        <v>55</v>
      </c>
    </row>
    <row r="100" spans="1:17" ht="14.25">
      <c r="A100" s="423" t="s">
        <v>278</v>
      </c>
      <c r="B100" s="121" t="s">
        <v>125</v>
      </c>
      <c r="C100" s="455"/>
      <c r="D100" s="458" t="s">
        <v>234</v>
      </c>
      <c r="E100" s="330">
        <v>1</v>
      </c>
      <c r="F100" s="327">
        <v>8.67</v>
      </c>
      <c r="G100" s="327">
        <v>1</v>
      </c>
      <c r="H100" s="327">
        <v>1.17</v>
      </c>
      <c r="I100" s="327" t="s">
        <v>277</v>
      </c>
      <c r="J100" s="327">
        <v>3</v>
      </c>
      <c r="K100" s="327" t="s">
        <v>277</v>
      </c>
      <c r="L100" s="327" t="s">
        <v>277</v>
      </c>
      <c r="M100" s="327" t="s">
        <v>277</v>
      </c>
      <c r="N100" s="327" t="s">
        <v>277</v>
      </c>
      <c r="O100" s="327">
        <v>1</v>
      </c>
      <c r="P100" s="328" t="s">
        <v>277</v>
      </c>
      <c r="Q100" s="329">
        <f t="shared" si="2"/>
        <v>15.84</v>
      </c>
    </row>
    <row r="101" spans="1:17" ht="14.25">
      <c r="A101" s="423" t="s">
        <v>280</v>
      </c>
      <c r="B101" s="121" t="s">
        <v>125</v>
      </c>
      <c r="C101" s="455"/>
      <c r="D101" s="458" t="s">
        <v>234</v>
      </c>
      <c r="E101" s="330">
        <v>0</v>
      </c>
      <c r="F101" s="327">
        <v>0</v>
      </c>
      <c r="G101" s="327">
        <v>1.5</v>
      </c>
      <c r="H101" s="327">
        <v>3</v>
      </c>
      <c r="I101" s="327">
        <v>0.92</v>
      </c>
      <c r="J101" s="327">
        <v>0</v>
      </c>
      <c r="K101" s="327">
        <v>2</v>
      </c>
      <c r="L101" s="327">
        <v>8.996</v>
      </c>
      <c r="M101" s="327">
        <v>1</v>
      </c>
      <c r="N101" s="327">
        <v>0</v>
      </c>
      <c r="O101" s="327">
        <v>1.5</v>
      </c>
      <c r="P101" s="328">
        <v>0</v>
      </c>
      <c r="Q101" s="329">
        <f t="shared" si="2"/>
        <v>18.916</v>
      </c>
    </row>
    <row r="102" spans="1:17" ht="14.25">
      <c r="A102" s="423" t="s">
        <v>296</v>
      </c>
      <c r="B102" s="121" t="s">
        <v>297</v>
      </c>
      <c r="C102" s="455"/>
      <c r="D102" s="458" t="s">
        <v>234</v>
      </c>
      <c r="E102" s="330">
        <v>6</v>
      </c>
      <c r="F102" s="327">
        <v>10</v>
      </c>
      <c r="G102" s="327">
        <v>10</v>
      </c>
      <c r="H102" s="327">
        <v>1</v>
      </c>
      <c r="I102" s="327">
        <v>1</v>
      </c>
      <c r="J102" s="327">
        <v>6</v>
      </c>
      <c r="K102" s="327" t="s">
        <v>277</v>
      </c>
      <c r="L102" s="327" t="s">
        <v>277</v>
      </c>
      <c r="M102" s="327" t="s">
        <v>277</v>
      </c>
      <c r="N102" s="327" t="s">
        <v>277</v>
      </c>
      <c r="O102" s="327" t="s">
        <v>277</v>
      </c>
      <c r="P102" s="328" t="s">
        <v>277</v>
      </c>
      <c r="Q102" s="329">
        <f t="shared" si="2"/>
        <v>34</v>
      </c>
    </row>
    <row r="103" spans="1:17" ht="14.25">
      <c r="A103" s="423" t="s">
        <v>298</v>
      </c>
      <c r="B103" s="121" t="s">
        <v>299</v>
      </c>
      <c r="C103" s="455"/>
      <c r="D103" s="458" t="s">
        <v>300</v>
      </c>
      <c r="E103" s="330" t="s">
        <v>301</v>
      </c>
      <c r="F103" s="327">
        <v>25</v>
      </c>
      <c r="G103" s="327">
        <v>2</v>
      </c>
      <c r="H103" s="327">
        <v>1</v>
      </c>
      <c r="I103" s="327">
        <v>24</v>
      </c>
      <c r="J103" s="327">
        <v>228.5</v>
      </c>
      <c r="K103" s="327">
        <v>89.5</v>
      </c>
      <c r="L103" s="327">
        <v>43</v>
      </c>
      <c r="M103" s="327">
        <v>0.5</v>
      </c>
      <c r="N103" s="327">
        <v>21</v>
      </c>
      <c r="O103" s="327">
        <v>120</v>
      </c>
      <c r="P103" s="328">
        <v>24</v>
      </c>
      <c r="Q103" s="329">
        <f t="shared" si="2"/>
        <v>578.5</v>
      </c>
    </row>
    <row r="104" spans="1:17" ht="14.25">
      <c r="A104" s="423" t="s">
        <v>302</v>
      </c>
      <c r="B104" s="121" t="s">
        <v>195</v>
      </c>
      <c r="C104" s="455"/>
      <c r="D104" s="458" t="s">
        <v>234</v>
      </c>
      <c r="E104" s="330">
        <v>0.5</v>
      </c>
      <c r="F104" s="327">
        <v>15</v>
      </c>
      <c r="G104" s="327">
        <v>4</v>
      </c>
      <c r="H104" s="327" t="s">
        <v>277</v>
      </c>
      <c r="I104" s="327">
        <v>3</v>
      </c>
      <c r="J104" s="327">
        <v>17.5</v>
      </c>
      <c r="K104" s="327">
        <v>49.5</v>
      </c>
      <c r="L104" s="327" t="s">
        <v>277</v>
      </c>
      <c r="M104" s="327" t="s">
        <v>277</v>
      </c>
      <c r="N104" s="327" t="s">
        <v>277</v>
      </c>
      <c r="O104" s="327" t="s">
        <v>277</v>
      </c>
      <c r="P104" s="328" t="s">
        <v>277</v>
      </c>
      <c r="Q104" s="329">
        <f aca="true" t="shared" si="3" ref="Q104:Q123">SUM(E104:P104)</f>
        <v>89.5</v>
      </c>
    </row>
    <row r="105" spans="1:17" ht="14.25">
      <c r="A105" s="423" t="s">
        <v>303</v>
      </c>
      <c r="B105" s="121" t="s">
        <v>125</v>
      </c>
      <c r="C105" s="455"/>
      <c r="D105" s="458" t="s">
        <v>234</v>
      </c>
      <c r="E105" s="330">
        <v>2</v>
      </c>
      <c r="F105" s="327">
        <v>4.73</v>
      </c>
      <c r="G105" s="327" t="s">
        <v>277</v>
      </c>
      <c r="H105" s="327" t="s">
        <v>277</v>
      </c>
      <c r="I105" s="327">
        <v>23.8</v>
      </c>
      <c r="J105" s="327" t="s">
        <v>277</v>
      </c>
      <c r="K105" s="327" t="s">
        <v>277</v>
      </c>
      <c r="L105" s="327" t="s">
        <v>277</v>
      </c>
      <c r="M105" s="327" t="s">
        <v>277</v>
      </c>
      <c r="N105" s="327" t="s">
        <v>277</v>
      </c>
      <c r="O105" s="327" t="s">
        <v>277</v>
      </c>
      <c r="P105" s="328" t="s">
        <v>277</v>
      </c>
      <c r="Q105" s="329">
        <f t="shared" si="3"/>
        <v>30.53</v>
      </c>
    </row>
    <row r="106" spans="1:17" ht="14.25">
      <c r="A106" s="425" t="s">
        <v>304</v>
      </c>
      <c r="B106" s="121" t="s">
        <v>125</v>
      </c>
      <c r="C106" s="455"/>
      <c r="D106" s="458" t="s">
        <v>234</v>
      </c>
      <c r="E106" s="330" t="s">
        <v>277</v>
      </c>
      <c r="F106" s="327" t="s">
        <v>277</v>
      </c>
      <c r="G106" s="327" t="s">
        <v>277</v>
      </c>
      <c r="H106" s="327">
        <v>2.2</v>
      </c>
      <c r="I106" s="327">
        <v>1.2</v>
      </c>
      <c r="J106" s="327" t="s">
        <v>277</v>
      </c>
      <c r="K106" s="327">
        <v>1.2</v>
      </c>
      <c r="L106" s="327" t="s">
        <v>277</v>
      </c>
      <c r="M106" s="327">
        <v>1.2</v>
      </c>
      <c r="N106" s="327">
        <v>1.2</v>
      </c>
      <c r="O106" s="327" t="s">
        <v>277</v>
      </c>
      <c r="P106" s="328">
        <v>1.7</v>
      </c>
      <c r="Q106" s="329">
        <f t="shared" si="3"/>
        <v>8.700000000000001</v>
      </c>
    </row>
    <row r="107" spans="1:17" ht="14.25">
      <c r="A107" s="425" t="s">
        <v>305</v>
      </c>
      <c r="B107" s="121" t="s">
        <v>125</v>
      </c>
      <c r="C107" s="455"/>
      <c r="D107" s="458" t="s">
        <v>234</v>
      </c>
      <c r="E107" s="330" t="s">
        <v>277</v>
      </c>
      <c r="F107" s="327" t="s">
        <v>277</v>
      </c>
      <c r="G107" s="327">
        <v>2.2</v>
      </c>
      <c r="H107" s="327" t="s">
        <v>277</v>
      </c>
      <c r="I107" s="327">
        <v>1.2</v>
      </c>
      <c r="J107" s="327">
        <v>1.2</v>
      </c>
      <c r="K107" s="327" t="s">
        <v>277</v>
      </c>
      <c r="L107" s="327">
        <v>1.2</v>
      </c>
      <c r="M107" s="327" t="s">
        <v>277</v>
      </c>
      <c r="N107" s="327">
        <v>1.2</v>
      </c>
      <c r="O107" s="327" t="s">
        <v>277</v>
      </c>
      <c r="P107" s="328">
        <v>1.7</v>
      </c>
      <c r="Q107" s="329">
        <f t="shared" si="3"/>
        <v>8.700000000000001</v>
      </c>
    </row>
    <row r="108" spans="1:17" ht="14.25">
      <c r="A108" s="423" t="s">
        <v>596</v>
      </c>
      <c r="B108" s="121" t="s">
        <v>340</v>
      </c>
      <c r="C108" s="455"/>
      <c r="D108" s="458" t="s">
        <v>325</v>
      </c>
      <c r="E108" s="330">
        <v>11</v>
      </c>
      <c r="F108" s="327">
        <v>13.9</v>
      </c>
      <c r="G108" s="327">
        <v>6</v>
      </c>
      <c r="H108" s="327">
        <v>26.9</v>
      </c>
      <c r="I108" s="327">
        <v>34</v>
      </c>
      <c r="J108" s="327">
        <v>38.6</v>
      </c>
      <c r="K108" s="327">
        <v>4.5</v>
      </c>
      <c r="L108" s="327">
        <v>0</v>
      </c>
      <c r="M108" s="327">
        <v>0</v>
      </c>
      <c r="N108" s="327">
        <v>0</v>
      </c>
      <c r="O108" s="327">
        <v>1</v>
      </c>
      <c r="P108" s="328">
        <v>5</v>
      </c>
      <c r="Q108" s="329">
        <f t="shared" si="3"/>
        <v>140.9</v>
      </c>
    </row>
    <row r="109" spans="1:17" ht="14.25">
      <c r="A109" s="423" t="s">
        <v>296</v>
      </c>
      <c r="B109" s="121" t="s">
        <v>297</v>
      </c>
      <c r="C109" s="455"/>
      <c r="D109" s="458" t="s">
        <v>234</v>
      </c>
      <c r="E109" s="330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8"/>
      <c r="Q109" s="329">
        <f t="shared" si="3"/>
        <v>0</v>
      </c>
    </row>
    <row r="110" spans="1:17" ht="14.25">
      <c r="A110" s="423" t="s">
        <v>306</v>
      </c>
      <c r="B110" s="121" t="s">
        <v>299</v>
      </c>
      <c r="C110" s="455"/>
      <c r="D110" s="458" t="s">
        <v>300</v>
      </c>
      <c r="E110" s="330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8"/>
      <c r="Q110" s="329">
        <f t="shared" si="3"/>
        <v>0</v>
      </c>
    </row>
    <row r="111" spans="1:17" ht="14.25">
      <c r="A111" s="423" t="s">
        <v>302</v>
      </c>
      <c r="B111" s="121" t="s">
        <v>195</v>
      </c>
      <c r="C111" s="455"/>
      <c r="D111" s="458" t="s">
        <v>1</v>
      </c>
      <c r="E111" s="330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8"/>
      <c r="Q111" s="329">
        <f t="shared" si="3"/>
        <v>0</v>
      </c>
    </row>
    <row r="112" spans="1:17" ht="14.25">
      <c r="A112" s="423" t="s">
        <v>307</v>
      </c>
      <c r="B112" s="121" t="s">
        <v>125</v>
      </c>
      <c r="C112" s="455"/>
      <c r="D112" s="458" t="s">
        <v>1</v>
      </c>
      <c r="E112" s="330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8"/>
      <c r="Q112" s="329">
        <f t="shared" si="3"/>
        <v>0</v>
      </c>
    </row>
    <row r="113" spans="1:17" ht="14.25">
      <c r="A113" s="425" t="s">
        <v>304</v>
      </c>
      <c r="B113" s="121" t="s">
        <v>125</v>
      </c>
      <c r="C113" s="455"/>
      <c r="D113" s="458" t="s">
        <v>1</v>
      </c>
      <c r="E113" s="330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8"/>
      <c r="Q113" s="329">
        <f t="shared" si="3"/>
        <v>0</v>
      </c>
    </row>
    <row r="114" spans="1:17" ht="14.25">
      <c r="A114" s="425" t="s">
        <v>305</v>
      </c>
      <c r="B114" s="121" t="s">
        <v>125</v>
      </c>
      <c r="C114" s="455"/>
      <c r="D114" s="458" t="s">
        <v>1</v>
      </c>
      <c r="E114" s="330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8"/>
      <c r="Q114" s="329">
        <f t="shared" si="3"/>
        <v>0</v>
      </c>
    </row>
    <row r="115" spans="1:17" ht="14.25">
      <c r="A115" s="425" t="s">
        <v>308</v>
      </c>
      <c r="B115" s="121" t="s">
        <v>309</v>
      </c>
      <c r="C115" s="455"/>
      <c r="D115" s="458" t="s">
        <v>1</v>
      </c>
      <c r="E115" s="330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8"/>
      <c r="Q115" s="329">
        <f t="shared" si="3"/>
        <v>0</v>
      </c>
    </row>
    <row r="116" spans="1:17" ht="14.25">
      <c r="A116" s="425" t="s">
        <v>310</v>
      </c>
      <c r="B116" s="121" t="s">
        <v>309</v>
      </c>
      <c r="C116" s="455"/>
      <c r="D116" s="458" t="s">
        <v>1</v>
      </c>
      <c r="E116" s="330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8"/>
      <c r="Q116" s="329">
        <f t="shared" si="3"/>
        <v>0</v>
      </c>
    </row>
    <row r="117" spans="1:17" ht="14.25">
      <c r="A117" s="425" t="s">
        <v>311</v>
      </c>
      <c r="B117" s="121" t="s">
        <v>309</v>
      </c>
      <c r="C117" s="455"/>
      <c r="D117" s="458" t="s">
        <v>234</v>
      </c>
      <c r="E117" s="330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8"/>
      <c r="Q117" s="329">
        <f t="shared" si="3"/>
        <v>0</v>
      </c>
    </row>
    <row r="118" spans="1:17" ht="14.25">
      <c r="A118" s="425" t="s">
        <v>312</v>
      </c>
      <c r="B118" s="121" t="s">
        <v>309</v>
      </c>
      <c r="C118" s="455"/>
      <c r="D118" s="458" t="s">
        <v>234</v>
      </c>
      <c r="E118" s="330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8"/>
      <c r="Q118" s="329">
        <f t="shared" si="3"/>
        <v>0</v>
      </c>
    </row>
    <row r="119" spans="1:17" ht="14.25">
      <c r="A119" s="425" t="s">
        <v>313</v>
      </c>
      <c r="B119" s="121" t="s">
        <v>309</v>
      </c>
      <c r="C119" s="455"/>
      <c r="D119" s="458" t="s">
        <v>1</v>
      </c>
      <c r="E119" s="330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8"/>
      <c r="Q119" s="329">
        <f t="shared" si="3"/>
        <v>0</v>
      </c>
    </row>
    <row r="120" spans="1:17" ht="14.25">
      <c r="A120" s="425" t="s">
        <v>314</v>
      </c>
      <c r="B120" s="121" t="s">
        <v>309</v>
      </c>
      <c r="C120" s="455"/>
      <c r="D120" s="458" t="s">
        <v>1</v>
      </c>
      <c r="E120" s="330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8"/>
      <c r="Q120" s="329">
        <f t="shared" si="3"/>
        <v>0</v>
      </c>
    </row>
    <row r="121" spans="1:17" ht="14.25">
      <c r="A121" s="425" t="s">
        <v>315</v>
      </c>
      <c r="B121" s="121" t="s">
        <v>309</v>
      </c>
      <c r="C121" s="455"/>
      <c r="D121" s="458" t="s">
        <v>234</v>
      </c>
      <c r="E121" s="330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8"/>
      <c r="Q121" s="329">
        <f t="shared" si="3"/>
        <v>0</v>
      </c>
    </row>
    <row r="122" spans="1:17" ht="14.25">
      <c r="A122" s="424" t="s">
        <v>316</v>
      </c>
      <c r="B122" s="121" t="s">
        <v>309</v>
      </c>
      <c r="C122" s="455"/>
      <c r="D122" s="458" t="s">
        <v>234</v>
      </c>
      <c r="E122" s="330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8"/>
      <c r="Q122" s="503">
        <f t="shared" si="3"/>
        <v>0</v>
      </c>
    </row>
    <row r="123" spans="1:18" ht="14.25">
      <c r="A123" s="501" t="s">
        <v>643</v>
      </c>
      <c r="B123" s="121" t="s">
        <v>642</v>
      </c>
      <c r="C123" s="455">
        <v>10</v>
      </c>
      <c r="D123" s="494" t="s">
        <v>240</v>
      </c>
      <c r="E123" s="330">
        <v>76.5</v>
      </c>
      <c r="F123" s="327">
        <v>75</v>
      </c>
      <c r="G123" s="327">
        <v>76</v>
      </c>
      <c r="H123" s="327">
        <v>41.5</v>
      </c>
      <c r="I123" s="327">
        <v>12.5</v>
      </c>
      <c r="J123" s="327">
        <v>6.5</v>
      </c>
      <c r="K123" s="327">
        <v>48.5</v>
      </c>
      <c r="L123" s="327">
        <v>108</v>
      </c>
      <c r="M123" s="327">
        <v>109</v>
      </c>
      <c r="N123" s="327">
        <v>6</v>
      </c>
      <c r="O123" s="327">
        <v>5.5</v>
      </c>
      <c r="P123" s="507">
        <v>39</v>
      </c>
      <c r="Q123" s="505">
        <f t="shared" si="3"/>
        <v>604</v>
      </c>
      <c r="R123" s="13" t="s">
        <v>653</v>
      </c>
    </row>
    <row r="124" spans="1:18" ht="14.25">
      <c r="A124" s="502" t="s">
        <v>644</v>
      </c>
      <c r="B124" s="121" t="s">
        <v>642</v>
      </c>
      <c r="C124" s="455">
        <v>10</v>
      </c>
      <c r="D124" s="494" t="s">
        <v>1</v>
      </c>
      <c r="E124" s="330">
        <v>70.9</v>
      </c>
      <c r="F124" s="327">
        <v>4</v>
      </c>
      <c r="G124" s="327">
        <v>5</v>
      </c>
      <c r="H124" s="327">
        <v>3</v>
      </c>
      <c r="I124" s="327">
        <v>2.5</v>
      </c>
      <c r="J124" s="327">
        <v>26.5</v>
      </c>
      <c r="K124" s="327">
        <v>50.5</v>
      </c>
      <c r="L124" s="327">
        <v>77.5</v>
      </c>
      <c r="M124" s="327">
        <v>70.3</v>
      </c>
      <c r="N124" s="327">
        <v>1.8</v>
      </c>
      <c r="O124" s="327">
        <v>1.3</v>
      </c>
      <c r="P124" s="507">
        <v>66.5</v>
      </c>
      <c r="Q124" s="506">
        <f aca="true" t="shared" si="4" ref="Q124:Q131">SUM(E124:P124)</f>
        <v>379.8</v>
      </c>
      <c r="R124" s="13" t="s">
        <v>653</v>
      </c>
    </row>
    <row r="125" spans="1:18" ht="14.25">
      <c r="A125" s="502" t="s">
        <v>645</v>
      </c>
      <c r="B125" s="121" t="s">
        <v>345</v>
      </c>
      <c r="C125" s="455">
        <v>10</v>
      </c>
      <c r="D125" s="494" t="s">
        <v>1</v>
      </c>
      <c r="E125" s="499">
        <v>95</v>
      </c>
      <c r="F125" s="327">
        <v>96.1</v>
      </c>
      <c r="G125" s="327">
        <v>109.5</v>
      </c>
      <c r="H125" s="327">
        <v>117.8</v>
      </c>
      <c r="I125" s="327">
        <v>125.4</v>
      </c>
      <c r="J125" s="327">
        <v>77.5</v>
      </c>
      <c r="K125" s="327">
        <v>1.3</v>
      </c>
      <c r="L125" s="327">
        <v>28.9</v>
      </c>
      <c r="M125" s="327">
        <v>1.3</v>
      </c>
      <c r="N125" s="327">
        <v>93.9</v>
      </c>
      <c r="O125" s="327">
        <v>28.7</v>
      </c>
      <c r="P125" s="507">
        <v>81.1</v>
      </c>
      <c r="Q125" s="506">
        <f>SUM(E125:P125)</f>
        <v>856.5</v>
      </c>
      <c r="R125" s="13" t="s">
        <v>653</v>
      </c>
    </row>
    <row r="126" spans="1:18" ht="14.25">
      <c r="A126" s="502" t="s">
        <v>649</v>
      </c>
      <c r="B126" s="121" t="s">
        <v>647</v>
      </c>
      <c r="C126" s="455">
        <v>10</v>
      </c>
      <c r="D126" s="458" t="s">
        <v>1</v>
      </c>
      <c r="E126" s="330">
        <v>27</v>
      </c>
      <c r="F126" s="327">
        <v>3</v>
      </c>
      <c r="G126" s="327"/>
      <c r="H126" s="327"/>
      <c r="I126" s="327"/>
      <c r="J126" s="327"/>
      <c r="K126" s="327"/>
      <c r="L126" s="327">
        <v>2.5</v>
      </c>
      <c r="M126" s="327">
        <v>6</v>
      </c>
      <c r="N126" s="327">
        <v>27.5</v>
      </c>
      <c r="O126" s="327">
        <v>42.8</v>
      </c>
      <c r="P126" s="507">
        <v>6.6</v>
      </c>
      <c r="Q126" s="506">
        <f t="shared" si="4"/>
        <v>115.39999999999999</v>
      </c>
      <c r="R126" s="13" t="s">
        <v>653</v>
      </c>
    </row>
    <row r="127" spans="1:18" ht="14.25">
      <c r="A127" s="502" t="s">
        <v>648</v>
      </c>
      <c r="B127" s="121" t="s">
        <v>642</v>
      </c>
      <c r="C127" s="455">
        <v>10</v>
      </c>
      <c r="D127" s="458" t="s">
        <v>1</v>
      </c>
      <c r="E127" s="330">
        <v>130.4</v>
      </c>
      <c r="F127" s="327">
        <v>105</v>
      </c>
      <c r="G127" s="327">
        <v>110.5</v>
      </c>
      <c r="H127" s="327">
        <v>251</v>
      </c>
      <c r="I127" s="327">
        <v>144</v>
      </c>
      <c r="J127" s="327">
        <v>39.5</v>
      </c>
      <c r="K127" s="327">
        <v>61.2</v>
      </c>
      <c r="L127" s="327">
        <v>32</v>
      </c>
      <c r="M127" s="327">
        <v>2.5</v>
      </c>
      <c r="N127" s="327">
        <v>79.5</v>
      </c>
      <c r="O127" s="327">
        <v>238.4</v>
      </c>
      <c r="P127" s="507">
        <v>180.1</v>
      </c>
      <c r="Q127" s="506">
        <f t="shared" si="4"/>
        <v>1374.1</v>
      </c>
      <c r="R127" s="13" t="s">
        <v>653</v>
      </c>
    </row>
    <row r="128" spans="1:18" ht="14.25">
      <c r="A128" s="502" t="s">
        <v>648</v>
      </c>
      <c r="B128" s="121" t="s">
        <v>650</v>
      </c>
      <c r="C128" s="455">
        <v>10</v>
      </c>
      <c r="D128" s="500" t="s">
        <v>1</v>
      </c>
      <c r="E128" s="499">
        <v>28.3</v>
      </c>
      <c r="F128" s="327">
        <v>18.9</v>
      </c>
      <c r="G128" s="327">
        <v>53.3</v>
      </c>
      <c r="H128" s="327">
        <v>361.3</v>
      </c>
      <c r="I128" s="327">
        <v>144.4</v>
      </c>
      <c r="J128" s="327"/>
      <c r="K128" s="327">
        <v>18.6</v>
      </c>
      <c r="L128" s="327">
        <v>13.3</v>
      </c>
      <c r="M128" s="327">
        <v>23.7</v>
      </c>
      <c r="N128" s="327">
        <v>44.8</v>
      </c>
      <c r="O128" s="327">
        <v>71.4</v>
      </c>
      <c r="P128" s="507">
        <v>28</v>
      </c>
      <c r="Q128" s="506">
        <f t="shared" si="4"/>
        <v>806</v>
      </c>
      <c r="R128" s="13" t="s">
        <v>653</v>
      </c>
    </row>
    <row r="129" spans="1:18" ht="14.25">
      <c r="A129" s="502" t="s">
        <v>651</v>
      </c>
      <c r="B129" s="121" t="s">
        <v>642</v>
      </c>
      <c r="C129" s="455">
        <v>10</v>
      </c>
      <c r="D129" s="458" t="s">
        <v>1</v>
      </c>
      <c r="E129" s="330">
        <v>20.8</v>
      </c>
      <c r="F129" s="327">
        <v>26.5</v>
      </c>
      <c r="G129" s="327">
        <v>24</v>
      </c>
      <c r="H129" s="327">
        <v>30.2</v>
      </c>
      <c r="I129" s="327">
        <v>47.9</v>
      </c>
      <c r="J129" s="327">
        <v>77.4</v>
      </c>
      <c r="K129" s="327">
        <v>92.4</v>
      </c>
      <c r="L129" s="327">
        <v>60.9</v>
      </c>
      <c r="M129" s="327">
        <v>102.6</v>
      </c>
      <c r="N129" s="327">
        <v>34.7</v>
      </c>
      <c r="O129" s="327">
        <v>40.2</v>
      </c>
      <c r="P129" s="507">
        <v>19.5</v>
      </c>
      <c r="Q129" s="506">
        <f t="shared" si="4"/>
        <v>577.1000000000001</v>
      </c>
      <c r="R129" s="13" t="s">
        <v>653</v>
      </c>
    </row>
    <row r="130" spans="1:18" ht="14.25">
      <c r="A130" s="502" t="s">
        <v>652</v>
      </c>
      <c r="B130" s="121" t="s">
        <v>650</v>
      </c>
      <c r="C130" s="455">
        <v>10</v>
      </c>
      <c r="D130" s="458" t="s">
        <v>1</v>
      </c>
      <c r="E130" s="330"/>
      <c r="F130" s="327"/>
      <c r="G130" s="327">
        <v>1.5</v>
      </c>
      <c r="H130" s="327">
        <v>10.5</v>
      </c>
      <c r="I130" s="327"/>
      <c r="J130" s="327"/>
      <c r="K130" s="327"/>
      <c r="L130" s="327"/>
      <c r="M130" s="327"/>
      <c r="N130" s="327">
        <v>13.7</v>
      </c>
      <c r="O130" s="327"/>
      <c r="P130" s="507"/>
      <c r="Q130" s="506">
        <f t="shared" si="4"/>
        <v>25.7</v>
      </c>
      <c r="R130" s="13" t="s">
        <v>653</v>
      </c>
    </row>
    <row r="131" spans="1:17" ht="14.25">
      <c r="A131" s="423"/>
      <c r="B131" s="497"/>
      <c r="C131" s="495"/>
      <c r="D131" s="496" t="s">
        <v>1</v>
      </c>
      <c r="E131" s="498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507"/>
      <c r="Q131" s="506">
        <f t="shared" si="4"/>
        <v>0</v>
      </c>
    </row>
    <row r="132" ht="14.25">
      <c r="Q132" s="504"/>
    </row>
    <row r="134" spans="1:17" ht="14.25">
      <c r="A134" s="360" t="s">
        <v>615</v>
      </c>
      <c r="B134" s="13" t="s">
        <v>624</v>
      </c>
      <c r="D134" s="13">
        <v>1</v>
      </c>
      <c r="E134" s="430">
        <v>0.425</v>
      </c>
      <c r="F134" s="431">
        <v>0.825</v>
      </c>
      <c r="G134" s="431">
        <v>3.075</v>
      </c>
      <c r="H134" s="431">
        <v>0.675</v>
      </c>
      <c r="I134" s="431">
        <v>1.38</v>
      </c>
      <c r="J134" s="431">
        <v>2.035</v>
      </c>
      <c r="K134" s="431">
        <v>0.17</v>
      </c>
      <c r="L134" s="431">
        <v>0.12</v>
      </c>
      <c r="M134" s="431">
        <v>0.195</v>
      </c>
      <c r="N134" s="431">
        <v>1.22</v>
      </c>
      <c r="O134" s="431">
        <v>0.075</v>
      </c>
      <c r="P134" s="443">
        <v>0</v>
      </c>
      <c r="Q134" s="445">
        <f>SUM(E134:P134)</f>
        <v>10.194999999999999</v>
      </c>
    </row>
    <row r="135" spans="1:18" ht="14.25">
      <c r="A135" s="360" t="s">
        <v>615</v>
      </c>
      <c r="B135" s="13" t="s">
        <v>637</v>
      </c>
      <c r="D135" s="13">
        <v>2</v>
      </c>
      <c r="E135" s="432">
        <v>1</v>
      </c>
      <c r="F135" s="433">
        <v>1</v>
      </c>
      <c r="G135" s="433">
        <v>1</v>
      </c>
      <c r="H135" s="433">
        <v>3</v>
      </c>
      <c r="I135" s="433">
        <v>3</v>
      </c>
      <c r="J135" s="433">
        <v>1.2</v>
      </c>
      <c r="K135" s="433">
        <v>0.7</v>
      </c>
      <c r="L135" s="433">
        <v>8.6</v>
      </c>
      <c r="M135" s="433">
        <v>2.5</v>
      </c>
      <c r="N135" s="433">
        <v>1.5</v>
      </c>
      <c r="O135" s="433">
        <v>1</v>
      </c>
      <c r="P135" s="444">
        <v>1.3</v>
      </c>
      <c r="Q135" s="446">
        <f aca="true" t="shared" si="5" ref="Q135:Q143">SUM(E135:P135)</f>
        <v>25.8</v>
      </c>
      <c r="R135" s="13" t="s">
        <v>348</v>
      </c>
    </row>
    <row r="136" spans="1:18" ht="14.25">
      <c r="A136" s="360" t="s">
        <v>616</v>
      </c>
      <c r="D136" s="13">
        <v>3</v>
      </c>
      <c r="E136" s="432">
        <v>1.5</v>
      </c>
      <c r="F136" s="433">
        <v>1</v>
      </c>
      <c r="G136" s="433">
        <v>2.5</v>
      </c>
      <c r="H136" s="433">
        <v>0.5</v>
      </c>
      <c r="I136" s="433">
        <v>3.3</v>
      </c>
      <c r="J136" s="433">
        <v>3</v>
      </c>
      <c r="K136" s="433">
        <v>1</v>
      </c>
      <c r="L136" s="433">
        <v>0</v>
      </c>
      <c r="M136" s="433">
        <v>0</v>
      </c>
      <c r="N136" s="433">
        <v>0</v>
      </c>
      <c r="O136" s="433">
        <v>0</v>
      </c>
      <c r="P136" s="444">
        <v>1</v>
      </c>
      <c r="Q136" s="446">
        <f t="shared" si="5"/>
        <v>13.8</v>
      </c>
      <c r="R136" s="13" t="s">
        <v>348</v>
      </c>
    </row>
    <row r="137" spans="1:18" ht="14.25">
      <c r="A137" s="360" t="s">
        <v>620</v>
      </c>
      <c r="D137" s="13">
        <v>4</v>
      </c>
      <c r="E137" s="432">
        <v>1.5</v>
      </c>
      <c r="F137" s="433">
        <v>1</v>
      </c>
      <c r="G137" s="433">
        <v>2.5</v>
      </c>
      <c r="H137" s="433">
        <v>0.5</v>
      </c>
      <c r="I137" s="433">
        <v>3.3</v>
      </c>
      <c r="J137" s="433">
        <v>3</v>
      </c>
      <c r="K137" s="433">
        <v>1</v>
      </c>
      <c r="L137" s="433">
        <v>0</v>
      </c>
      <c r="M137" s="433">
        <v>0</v>
      </c>
      <c r="N137" s="433">
        <v>0</v>
      </c>
      <c r="O137" s="433">
        <v>0</v>
      </c>
      <c r="P137" s="444">
        <v>1</v>
      </c>
      <c r="Q137" s="446">
        <f t="shared" si="5"/>
        <v>13.8</v>
      </c>
      <c r="R137" s="13" t="s">
        <v>348</v>
      </c>
    </row>
    <row r="138" spans="1:17" ht="14.25">
      <c r="A138" s="360" t="s">
        <v>621</v>
      </c>
      <c r="D138" s="13">
        <v>5</v>
      </c>
      <c r="E138" s="432"/>
      <c r="F138" s="433"/>
      <c r="G138" s="433"/>
      <c r="H138" s="433"/>
      <c r="I138" s="433"/>
      <c r="J138" s="433">
        <v>3</v>
      </c>
      <c r="K138" s="433">
        <v>3</v>
      </c>
      <c r="L138" s="433">
        <v>5</v>
      </c>
      <c r="M138" s="433">
        <v>5</v>
      </c>
      <c r="N138" s="433">
        <v>5</v>
      </c>
      <c r="O138" s="433"/>
      <c r="P138" s="444"/>
      <c r="Q138" s="446">
        <f t="shared" si="5"/>
        <v>21</v>
      </c>
    </row>
    <row r="139" spans="1:18" ht="14.25">
      <c r="A139" s="360" t="s">
        <v>617</v>
      </c>
      <c r="D139" s="13">
        <v>6</v>
      </c>
      <c r="E139" s="432">
        <v>10.4</v>
      </c>
      <c r="F139" s="433">
        <v>19.2</v>
      </c>
      <c r="G139" s="433">
        <v>7.2</v>
      </c>
      <c r="H139" s="433">
        <v>36</v>
      </c>
      <c r="I139" s="433">
        <v>76</v>
      </c>
      <c r="J139" s="433">
        <v>247.8</v>
      </c>
      <c r="K139" s="433">
        <v>3.2</v>
      </c>
      <c r="L139" s="433">
        <v>92</v>
      </c>
      <c r="M139" s="433">
        <v>24.8</v>
      </c>
      <c r="N139" s="433">
        <v>9.6</v>
      </c>
      <c r="O139" s="433">
        <v>25.6</v>
      </c>
      <c r="P139" s="444">
        <v>11.2</v>
      </c>
      <c r="Q139" s="446">
        <f t="shared" si="5"/>
        <v>563.0000000000001</v>
      </c>
      <c r="R139" s="13" t="s">
        <v>348</v>
      </c>
    </row>
    <row r="140" spans="1:18" ht="14.25">
      <c r="A140" s="360" t="s">
        <v>618</v>
      </c>
      <c r="D140" s="13">
        <v>7</v>
      </c>
      <c r="E140" s="432">
        <v>24.6</v>
      </c>
      <c r="F140" s="433">
        <v>106.6</v>
      </c>
      <c r="G140" s="433">
        <v>146.2</v>
      </c>
      <c r="H140" s="433">
        <v>118.6</v>
      </c>
      <c r="I140" s="433">
        <v>60.8</v>
      </c>
      <c r="J140" s="433">
        <v>104.2</v>
      </c>
      <c r="K140" s="433">
        <v>244.2</v>
      </c>
      <c r="L140" s="433">
        <v>96.3</v>
      </c>
      <c r="M140" s="433">
        <v>30.2</v>
      </c>
      <c r="N140" s="433">
        <v>77.9</v>
      </c>
      <c r="O140" s="433">
        <v>11.9</v>
      </c>
      <c r="P140" s="444">
        <v>37.6</v>
      </c>
      <c r="Q140" s="446">
        <f t="shared" si="5"/>
        <v>1059.1</v>
      </c>
      <c r="R140" s="13" t="s">
        <v>348</v>
      </c>
    </row>
    <row r="141" spans="1:18" ht="14.25">
      <c r="A141" s="360" t="s">
        <v>619</v>
      </c>
      <c r="D141" s="13">
        <v>8</v>
      </c>
      <c r="E141" s="432">
        <v>24</v>
      </c>
      <c r="F141" s="433">
        <v>23</v>
      </c>
      <c r="G141" s="433">
        <v>4.5</v>
      </c>
      <c r="H141" s="433">
        <v>2</v>
      </c>
      <c r="I141" s="433">
        <v>3</v>
      </c>
      <c r="J141" s="433">
        <v>0</v>
      </c>
      <c r="K141" s="433">
        <v>1.5</v>
      </c>
      <c r="L141" s="433">
        <v>0</v>
      </c>
      <c r="M141" s="433">
        <v>2</v>
      </c>
      <c r="N141" s="433">
        <v>12.3</v>
      </c>
      <c r="O141" s="433">
        <v>34.5</v>
      </c>
      <c r="P141" s="444">
        <v>15</v>
      </c>
      <c r="Q141" s="446">
        <f t="shared" si="5"/>
        <v>121.8</v>
      </c>
      <c r="R141" s="13" t="s">
        <v>348</v>
      </c>
    </row>
    <row r="142" spans="1:18" ht="14.25">
      <c r="A142" s="360" t="s">
        <v>591</v>
      </c>
      <c r="D142" s="13">
        <v>9</v>
      </c>
      <c r="E142" s="432">
        <v>31</v>
      </c>
      <c r="F142" s="433">
        <v>1</v>
      </c>
      <c r="G142" s="433">
        <v>11</v>
      </c>
      <c r="H142" s="433">
        <v>69</v>
      </c>
      <c r="I142" s="433">
        <v>97</v>
      </c>
      <c r="J142" s="433">
        <v>63</v>
      </c>
      <c r="K142" s="433">
        <v>3</v>
      </c>
      <c r="L142" s="433">
        <v>0</v>
      </c>
      <c r="M142" s="433">
        <v>0</v>
      </c>
      <c r="N142" s="433">
        <v>0</v>
      </c>
      <c r="O142" s="433">
        <v>0</v>
      </c>
      <c r="P142" s="444">
        <v>1</v>
      </c>
      <c r="Q142" s="446">
        <f t="shared" si="5"/>
        <v>276</v>
      </c>
      <c r="R142" s="13" t="s">
        <v>348</v>
      </c>
    </row>
    <row r="143" spans="1:18" ht="14.25">
      <c r="A143" s="360" t="s">
        <v>622</v>
      </c>
      <c r="D143" s="13">
        <v>10</v>
      </c>
      <c r="E143" s="432">
        <v>0</v>
      </c>
      <c r="F143" s="433">
        <v>0</v>
      </c>
      <c r="G143" s="433">
        <v>0</v>
      </c>
      <c r="H143" s="433">
        <v>93</v>
      </c>
      <c r="I143" s="433">
        <v>28.2</v>
      </c>
      <c r="J143" s="433">
        <v>82.2</v>
      </c>
      <c r="K143" s="433">
        <v>101.4</v>
      </c>
      <c r="L143" s="433">
        <v>97.8</v>
      </c>
      <c r="M143" s="433">
        <v>28.8</v>
      </c>
      <c r="N143" s="433">
        <v>0</v>
      </c>
      <c r="O143" s="433">
        <v>0</v>
      </c>
      <c r="P143" s="444">
        <v>0</v>
      </c>
      <c r="Q143" s="446">
        <f t="shared" si="5"/>
        <v>431.40000000000003</v>
      </c>
      <c r="R143" s="13" t="s">
        <v>348</v>
      </c>
    </row>
  </sheetData>
  <sheetProtection/>
  <mergeCells count="1">
    <mergeCell ref="C2:D2"/>
  </mergeCells>
  <printOptions/>
  <pageMargins left="0.18" right="0.16" top="0.984" bottom="0.23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農政経済課7</cp:lastModifiedBy>
  <cp:lastPrinted>2015-03-10T23:58:54Z</cp:lastPrinted>
  <dcterms:created xsi:type="dcterms:W3CDTF">2000-09-22T05:04:20Z</dcterms:created>
  <dcterms:modified xsi:type="dcterms:W3CDTF">2015-07-22T08:16:06Z</dcterms:modified>
  <cp:category/>
  <cp:version/>
  <cp:contentType/>
  <cp:contentStatus/>
</cp:coreProperties>
</file>